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_Työ\Helsinki\H88-1187 Helsingin kaupungin ulkovalaistuksen suunnitteluohjeen päivitys\"/>
    </mc:Choice>
  </mc:AlternateContent>
  <xr:revisionPtr revIDLastSave="0" documentId="13_ncr:1_{EFA849D1-59B5-43A1-AA9B-D6E3204FAFC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ehot" sheetId="1" r:id="rId1"/>
    <sheet name="nyk_lukumäärät" sheetId="13" r:id="rId2"/>
    <sheet name="suun_lukumäärät" sheetId="15" r:id="rId3"/>
  </sheets>
  <definedNames>
    <definedName name="_xlnm.Print_Area" localSheetId="0">tehot!$A$3:$I$69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Q18" i="1"/>
  <c r="Q17" i="1"/>
  <c r="Q16" i="1"/>
  <c r="Q15" i="1"/>
  <c r="Q14" i="1"/>
  <c r="Q13" i="1"/>
  <c r="Q12" i="1"/>
  <c r="Q11" i="1"/>
  <c r="Q10" i="1"/>
  <c r="Q9" i="1"/>
  <c r="S9" i="1"/>
  <c r="S19" i="1"/>
  <c r="S18" i="1"/>
  <c r="S17" i="1"/>
  <c r="S16" i="1"/>
  <c r="S15" i="1"/>
  <c r="S14" i="1"/>
  <c r="S13" i="1"/>
  <c r="S12" i="1"/>
  <c r="S11" i="1"/>
  <c r="S10" i="1"/>
  <c r="E68" i="1"/>
  <c r="E74" i="13"/>
  <c r="S20" i="1" l="1"/>
  <c r="S6" i="1" s="1"/>
  <c r="Q20" i="1"/>
  <c r="Q6" i="1" s="1"/>
  <c r="B1" i="15"/>
  <c r="B1" i="13"/>
  <c r="G67" i="1"/>
  <c r="G66" i="1"/>
  <c r="G65" i="1"/>
  <c r="G62" i="1"/>
  <c r="G61" i="1"/>
  <c r="G63" i="1" s="1"/>
  <c r="G58" i="1"/>
  <c r="G57" i="1"/>
  <c r="G56" i="1"/>
  <c r="G55" i="1"/>
  <c r="G54" i="1"/>
  <c r="G53" i="1"/>
  <c r="G50" i="1"/>
  <c r="G49" i="1"/>
  <c r="G48" i="1"/>
  <c r="G47" i="1"/>
  <c r="G46" i="1"/>
  <c r="G45" i="1"/>
  <c r="G44" i="1"/>
  <c r="G43" i="1"/>
  <c r="G42" i="1"/>
  <c r="G40" i="1"/>
  <c r="G38" i="1"/>
  <c r="G36" i="1"/>
  <c r="G33" i="1"/>
  <c r="G32" i="1"/>
  <c r="G31" i="1"/>
  <c r="G28" i="1"/>
  <c r="G27" i="1"/>
  <c r="G26" i="1"/>
  <c r="G25" i="1"/>
  <c r="G24" i="1"/>
  <c r="G23" i="1"/>
  <c r="G22" i="1"/>
  <c r="G19" i="1"/>
  <c r="G18" i="1"/>
  <c r="G17" i="1"/>
  <c r="G16" i="1"/>
  <c r="G13" i="1"/>
  <c r="G12" i="1"/>
  <c r="G11" i="1"/>
  <c r="G10" i="1"/>
  <c r="G9" i="1"/>
  <c r="G20" i="1" l="1"/>
  <c r="G51" i="1"/>
  <c r="G14" i="1"/>
  <c r="G68" i="1"/>
  <c r="G59" i="1"/>
  <c r="G34" i="1"/>
  <c r="G29" i="1"/>
  <c r="G6" i="1" l="1"/>
  <c r="I14" i="1" s="1"/>
  <c r="E54" i="1"/>
  <c r="E57" i="1" l="1"/>
  <c r="E58" i="1" l="1"/>
  <c r="E56" i="1" l="1"/>
  <c r="E10" i="1" l="1"/>
  <c r="E11" i="1"/>
  <c r="E12" i="1"/>
  <c r="E13" i="1"/>
  <c r="E17" i="1"/>
  <c r="E18" i="1"/>
  <c r="E19" i="1"/>
  <c r="E23" i="1"/>
  <c r="E24" i="1"/>
  <c r="E25" i="1"/>
  <c r="E26" i="1"/>
  <c r="E27" i="1"/>
  <c r="E28" i="1"/>
  <c r="E32" i="1"/>
  <c r="E33" i="1"/>
  <c r="E43" i="1"/>
  <c r="E44" i="1"/>
  <c r="E45" i="1"/>
  <c r="E46" i="1"/>
  <c r="E47" i="1"/>
  <c r="E48" i="1"/>
  <c r="E49" i="1"/>
  <c r="E50" i="1"/>
  <c r="E55" i="1"/>
  <c r="E62" i="1"/>
  <c r="E53" i="1" l="1"/>
  <c r="E59" i="1" s="1"/>
  <c r="E42" i="1"/>
  <c r="E51" i="1" s="1"/>
  <c r="E22" i="1"/>
  <c r="E29" i="1" s="1"/>
  <c r="E16" i="1"/>
  <c r="E20" i="1" s="1"/>
  <c r="E61" i="1"/>
  <c r="E63" i="1" s="1"/>
  <c r="E40" i="1"/>
  <c r="E31" i="1"/>
  <c r="E34" i="1" s="1"/>
  <c r="E9" i="1"/>
  <c r="E14" i="1" s="1"/>
  <c r="E6" i="1" l="1"/>
  <c r="I38" i="1"/>
  <c r="I40" i="1"/>
  <c r="I20" i="1"/>
  <c r="I34" i="1" l="1"/>
  <c r="I51" i="1"/>
  <c r="I63" i="1"/>
  <c r="I36" i="1"/>
  <c r="I68" i="1"/>
  <c r="I59" i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tc={0F1D7E7A-B593-4264-A430-639096CCCBE3}</author>
    <author>tc={F001F790-2928-431B-B21C-E8F520B8A4E0}</author>
    <author>tc={191A997B-9915-4082-896A-A88F56037383}</author>
    <author>tc={ACB38366-928E-47DE-9F3E-7E9D4381EE9A}</author>
    <author>tc={9DF02019-CB4B-47EC-8510-9C6628A8478D}</author>
  </authors>
  <commentList>
    <comment ref="E36" authorId="0" shapeId="0" xr:uid="{0F1D7E7A-B593-4264-A430-639096CCCBE3}">
      <text>
        <t>[Kommenttiketju]
Excel-versiosi avulla voit lukea tämän kommenttiketjun, mutta siihen tehdyt muutokset poistetaan, jos tiedosto avataan uudemmassa Excel-versiossa. Lisätietoja: https://go.microsoft.com/fwlink/?linkid=870924
Kommentti:
    Tarvittaessa laske ja täytä kokonaisteho itse</t>
      </text>
    </comment>
    <comment ref="E38" authorId="1" shapeId="0" xr:uid="{F001F790-2928-431B-B21C-E8F520B8A4E0}">
      <text>
        <t>[Kommenttiketju]
Excel-versiosi avulla voit lukea tämän kommenttiketjun, mutta siihen tehdyt muutokset poistetaan, jos tiedosto avataan uudemmassa Excel-versiossa. Lisätietoja: https://go.microsoft.com/fwlink/?linkid=870924
Kommentti:
    Tarvittaessa laske ja täytä kokonaisteho itse</t>
      </text>
    </comment>
    <comment ref="E65" authorId="2" shapeId="0" xr:uid="{191A997B-9915-4082-896A-A88F56037383}">
      <text>
        <t>[Kommenttiketju]
Excel-versiosi avulla voit lukea tämän kommenttiketjun, mutta siihen tehdyt muutokset poistetaan, jos tiedosto avataan uudemmassa Excel-versiossa. Lisätietoja: https://go.microsoft.com/fwlink/?linkid=870924
Kommentti:
    Tarvittaessa laske ja täytä kokonaisteho itse</t>
      </text>
    </comment>
    <comment ref="E66" authorId="3" shapeId="0" xr:uid="{ACB38366-928E-47DE-9F3E-7E9D4381EE9A}">
      <text>
        <t>[Kommenttiketju]
Excel-versiosi avulla voit lukea tämän kommenttiketjun, mutta siihen tehdyt muutokset poistetaan, jos tiedosto avataan uudemmassa Excel-versiossa. Lisätietoja: https://go.microsoft.com/fwlink/?linkid=870924
Kommentti:
    Tarvittaessa laske ja täytä kokonaisteho itse</t>
      </text>
    </comment>
    <comment ref="E67" authorId="4" shapeId="0" xr:uid="{9DF02019-CB4B-47EC-8510-9C6628A8478D}">
      <text>
        <t>[Kommenttiketju]
Excel-versiosi avulla voit lukea tämän kommenttiketjun, mutta siihen tehdyt muutokset poistetaan, jos tiedosto avataan uudemmassa Excel-versiossa. Lisätietoja: https://go.microsoft.com/fwlink/?linkid=870924
Kommentti:
    Tarvittaessa laske ja täytä kokonaisteho itse</t>
      </text>
    </comment>
  </commentList>
</comments>
</file>

<file path=xl/sharedStrings.xml><?xml version="1.0" encoding="utf-8"?>
<sst xmlns="http://schemas.openxmlformats.org/spreadsheetml/2006/main" count="138" uniqueCount="126">
  <si>
    <t>Nykyinen teho</t>
  </si>
  <si>
    <t>Suunniteltu käyttöteho</t>
  </si>
  <si>
    <t>kW</t>
  </si>
  <si>
    <t>kpl</t>
  </si>
  <si>
    <t>Yhteensä</t>
  </si>
  <si>
    <t>W</t>
  </si>
  <si>
    <t>% (kpl)</t>
  </si>
  <si>
    <t>Elohopea</t>
  </si>
  <si>
    <t>Arkki</t>
  </si>
  <si>
    <t>Korvaava</t>
  </si>
  <si>
    <t>Suurpaine-</t>
  </si>
  <si>
    <t>110 / 115</t>
  </si>
  <si>
    <t>natrium</t>
  </si>
  <si>
    <t>210 / 220</t>
  </si>
  <si>
    <t>Huom!</t>
  </si>
  <si>
    <t>Loisteputket</t>
  </si>
  <si>
    <t>Xenon-valaisimet</t>
  </si>
  <si>
    <t>Erikoisvalaisimet</t>
  </si>
  <si>
    <t>Halogeeni</t>
  </si>
  <si>
    <t>Monimetalli</t>
  </si>
  <si>
    <t>Induktio</t>
  </si>
  <si>
    <t>LED</t>
  </si>
  <si>
    <t>valaisin</t>
  </si>
  <si>
    <t>lamppu</t>
  </si>
  <si>
    <t>putki</t>
  </si>
  <si>
    <t>Täytä nykyiset kappalemäärät</t>
  </si>
  <si>
    <t>laji</t>
  </si>
  <si>
    <t>elohopea hg 400W</t>
  </si>
  <si>
    <t>elohopea hg 250W</t>
  </si>
  <si>
    <t>elohopea hg 125W</t>
  </si>
  <si>
    <t>elohopea hg 80W</t>
  </si>
  <si>
    <t>suurpainenatrium sn 400W</t>
  </si>
  <si>
    <t>suurpainenatrium sn 350W</t>
  </si>
  <si>
    <t>suurpainenatrium sn 250W</t>
  </si>
  <si>
    <t>suurpainenatrium sn 210W</t>
  </si>
  <si>
    <t>suurpainenatrium sn 150W</t>
  </si>
  <si>
    <t>suurpainenatrium sn 110W</t>
  </si>
  <si>
    <t>suurpainenatrium sn 100W</t>
  </si>
  <si>
    <t>suurpainenatrium sn 70W</t>
  </si>
  <si>
    <t>elohopea hg 50W</t>
  </si>
  <si>
    <t>muu valaisin</t>
  </si>
  <si>
    <t>Erikoisvalaisin</t>
  </si>
  <si>
    <t>led-valaisin</t>
  </si>
  <si>
    <t>suurpainenatrium sn 600W</t>
  </si>
  <si>
    <t>suurpainenatrium sn 50W</t>
  </si>
  <si>
    <t>Suurpainenatrium 75W</t>
  </si>
  <si>
    <t>Xenon 8,5 W</t>
  </si>
  <si>
    <t>Xenon 5 W</t>
  </si>
  <si>
    <t>Suurpainenatrium 115W</t>
  </si>
  <si>
    <t>Suurpainenatrium 220W</t>
  </si>
  <si>
    <t>MM 45W CPO-TW 45W/728 PGZ12 1C</t>
  </si>
  <si>
    <t>MM 60W CPO-TW 60W/728 PGZ12 1C</t>
  </si>
  <si>
    <t>Induktio 85W</t>
  </si>
  <si>
    <t>Induktio 55W</t>
  </si>
  <si>
    <t xml:space="preserve">led-pollari </t>
  </si>
  <si>
    <t xml:space="preserve">led-lamppu </t>
  </si>
  <si>
    <t>led-valaisin 2</t>
  </si>
  <si>
    <t>led-valaisin 3</t>
  </si>
  <si>
    <t>Loisteputki 58W</t>
  </si>
  <si>
    <t>Loisteputki 36W</t>
  </si>
  <si>
    <t>Loisteputki 18W</t>
  </si>
  <si>
    <t>led-putki</t>
  </si>
  <si>
    <t>Halogeeni 500W</t>
  </si>
  <si>
    <t>MM 150W ME-150/30-E27-Co OPEN</t>
  </si>
  <si>
    <t>MM 400W MT-400/30-E40</t>
  </si>
  <si>
    <t>MM 250W MT-250/30-E40</t>
  </si>
  <si>
    <t>MM 150W MT-150/30-E40</t>
  </si>
  <si>
    <t>MM 150W ME-150/28-E40</t>
  </si>
  <si>
    <t>MM 150W MD-150/42-Rx7s</t>
  </si>
  <si>
    <t>MM 150W MD-150/30-Rx7s</t>
  </si>
  <si>
    <t>MM 150W MT-150/42-G12</t>
  </si>
  <si>
    <t>MM 150W MT-150/30-G12</t>
  </si>
  <si>
    <t>MM 70W MT-70/30-E27</t>
  </si>
  <si>
    <t>MM 70W ME-70/30-E27</t>
  </si>
  <si>
    <t>MM 70W MR-70/30-PAR30L40-E27</t>
  </si>
  <si>
    <t>MM 70W MD-70/30-Rx7s</t>
  </si>
  <si>
    <t>MM 70W MT-70/42-G12</t>
  </si>
  <si>
    <t>MM 70W MT-70/30-G12</t>
  </si>
  <si>
    <t>MM 35W MT-35/30-G12</t>
  </si>
  <si>
    <t>MM 35W MT-35/30-Rx7s</t>
  </si>
  <si>
    <t>MM 35W MT-35/30-G8,5</t>
  </si>
  <si>
    <t>MM 70W MT-70/28-E27</t>
  </si>
  <si>
    <t>MM 100W ME-100/32-E27</t>
  </si>
  <si>
    <t>MM 100W MT-100/30-G12</t>
  </si>
  <si>
    <t>MM 150W MT-150/28-E40</t>
  </si>
  <si>
    <t>MM 72W CM70W CLS HOR-E27</t>
  </si>
  <si>
    <t>MM 72W CM70W CLS BUD-E27</t>
  </si>
  <si>
    <t>MM 50W MT-50/30-E27</t>
  </si>
  <si>
    <t>MM 100W ME-100/30-E40</t>
  </si>
  <si>
    <t>MM 100W MT-100/30-E40</t>
  </si>
  <si>
    <t>MM 46W ME-46-E27-HOR</t>
  </si>
  <si>
    <t>MM 46W ME-46-E27-BUD</t>
  </si>
  <si>
    <t>MM 55W CMI ME-55/30-E27</t>
  </si>
  <si>
    <t>MM 85W CMI ME-85/30-E27</t>
  </si>
  <si>
    <t>MM 170W CMI ME-170/30-E40</t>
  </si>
  <si>
    <t>MM 150W CMI ME-150/30-E40</t>
  </si>
  <si>
    <t>Täytä suunnitellut käyttötehot ja kappalemäärät</t>
  </si>
  <si>
    <t>kpl / arkki</t>
  </si>
  <si>
    <t>Valaisin</t>
  </si>
  <si>
    <t>Käyttöteho (W)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</si>
  <si>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</si>
  <si>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</si>
  <si>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</si>
  <si>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</si>
  <si>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</si>
  <si>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</si>
  <si>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</si>
  <si>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</si>
  <si>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</si>
  <si>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</si>
  <si>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</si>
  <si>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</si>
  <si>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</si>
  <si>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</si>
  <si>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</si>
  <si>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</si>
  <si>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</si>
  <si>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</si>
  <si>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</si>
  <si>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</si>
  <si>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</si>
  <si>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</si>
  <si>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</si>
  <si>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y</t>
  </si>
  <si>
    <t>z</t>
  </si>
  <si>
    <t>Suunnitelmanumero/nimi, 6.6.2025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</si>
</sst>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\.mm\.yyyy"/>
    <numFmt numFmtId="165" formatCode="#,##0.0"/>
    <numFmt numFmtId="166" formatCode="0.0"/>
  </numFmts>
  <fonts count="17" x14ac:knownFonts="1"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12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0" fontId="1" fillId="0" borderId="0"/>
    <xf numFmtId="0" fontId="10" fillId="7" borderId="0" applyNumberFormat="0" applyBorder="0" applyAlignment="0" applyProtection="0"/>
    <xf numFmtId="0" fontId="11" fillId="8" borderId="1" applyNumberFormat="0" applyAlignment="0" applyProtection="0"/>
  </cellStyleXfs>
  <cellXfs count="69">
    <xf numFmtId="0" fontId="0" fillId="0" borderId="0" xfId="0"/>
    <xf numFmtId="0" fontId="0" fillId="5" borderId="0" xfId="0" applyFill="1"/>
    <xf numFmtId="0" fontId="15" fillId="5" borderId="0" xfId="0" applyFont="1" applyFill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2" fontId="16" fillId="12" borderId="0" xfId="0" applyNumberFormat="1" applyFont="1" applyFill="1" applyAlignment="1" applyProtection="1">
      <alignment horizontal="center" vertical="center"/>
      <protection locked="0"/>
    </xf>
    <xf numFmtId="1" fontId="16" fillId="11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65" fontId="6" fillId="10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10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6" fillId="4" borderId="0" xfId="0" applyNumberFormat="1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3" fontId="9" fillId="3" borderId="0" xfId="0" quotePrefix="1" applyNumberFormat="1" applyFont="1" applyFill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/>
    </xf>
    <xf numFmtId="165" fontId="5" fillId="2" borderId="0" xfId="0" applyNumberFormat="1" applyFont="1" applyFill="1" applyAlignment="1">
      <alignment horizontal="center" vertical="center"/>
    </xf>
    <xf numFmtId="3" fontId="9" fillId="6" borderId="0" xfId="0" applyNumberFormat="1" applyFont="1" applyFill="1" applyAlignment="1">
      <alignment horizontal="center" vertical="center"/>
    </xf>
    <xf numFmtId="3" fontId="9" fillId="6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12" fillId="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3" fontId="13" fillId="9" borderId="0" xfId="0" applyNumberFormat="1" applyFont="1" applyFill="1" applyAlignment="1" applyProtection="1">
      <alignment horizontal="center" vertical="center"/>
      <protection locked="0"/>
    </xf>
    <xf numFmtId="3" fontId="13" fillId="9" borderId="0" xfId="0" quotePrefix="1" applyNumberFormat="1" applyFont="1" applyFill="1" applyAlignment="1" applyProtection="1">
      <alignment horizontal="center" vertical="center"/>
      <protection locked="0"/>
    </xf>
    <xf numFmtId="3" fontId="13" fillId="9" borderId="3" xfId="0" quotePrefix="1" applyNumberFormat="1" applyFont="1" applyFill="1" applyBorder="1" applyAlignment="1" applyProtection="1">
      <alignment horizontal="center" vertical="center"/>
      <protection locked="0"/>
    </xf>
    <xf numFmtId="3" fontId="15" fillId="8" borderId="2" xfId="3" applyNumberFormat="1" applyFont="1" applyBorder="1" applyAlignment="1" applyProtection="1">
      <alignment horizontal="center" vertical="center"/>
    </xf>
    <xf numFmtId="0" fontId="14" fillId="5" borderId="0" xfId="1" applyFont="1" applyFill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165" fontId="9" fillId="10" borderId="0" xfId="0" applyNumberFormat="1" applyFont="1" applyFill="1" applyAlignment="1" applyProtection="1">
      <alignment horizontal="center" vertical="center"/>
      <protection locked="0"/>
    </xf>
    <xf numFmtId="165" fontId="9" fillId="10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left" vertical="top" wrapText="1"/>
      <protection locked="0"/>
    </xf>
    <xf numFmtId="0" fontId="4" fillId="1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1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4" fillId="9" borderId="0" xfId="2" applyNumberFormat="1" applyFont="1" applyFill="1" applyBorder="1" applyAlignment="1" applyProtection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</cellXfs>
  <cellStyles count="4">
    <cellStyle name="Hyvä" xfId="2" builtinId="26"/>
    <cellStyle name="Laskenta" xfId="3" builtinId="22"/>
    <cellStyle name="Normaali" xfId="0" builtinId="0"/>
    <cellStyle name="Normaali 2" xfId="1" xr:uid="{00000000-0005-0000-0000-000003000000}"/>
  </cellStyles>
  <dxfs count="0"/>
  <tableStyles count="1" defaultTableStyle="TableStyleMedium9" defaultPivotStyle="PivotStyleLight16">
    <tableStyle name="Invisible" pivot="0" table="0" count="0" xr9:uid="{D7236FF2-2F94-4F1C-B9B3-068BFF49A0D2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alve Tommi" id="{2E38CAA5-AC3F-405E-ACD6-A6E054D380C0}" userId="S::tommi.valve@hel.fi::dba2024f-bfeb-4590-9ff5-f607509ad29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6" dT="2024-01-17T11:13:59.06" personId="{2E38CAA5-AC3F-405E-ACD6-A6E054D380C0}" id="{0F1D7E7A-B593-4264-A430-639096CCCBE3}">
    <text>Tarvittaessa laske ja täytä kokonaisteho itse</text>
  </threadedComment>
  <threadedComment ref="E38" dT="2024-01-17T11:42:04.94" personId="{2E38CAA5-AC3F-405E-ACD6-A6E054D380C0}" id="{F001F790-2928-431B-B21C-E8F520B8A4E0}">
    <text>Tarvittaessa laske ja täytä kokonaisteho itse</text>
  </threadedComment>
  <threadedComment ref="E65" dT="2024-01-17T11:42:35.75" personId="{2E38CAA5-AC3F-405E-ACD6-A6E054D380C0}" id="{191A997B-9915-4082-896A-A88F56037383}">
    <text>Tarvittaessa laske ja täytä kokonaisteho itse</text>
  </threadedComment>
  <threadedComment ref="E66" dT="2024-01-17T11:42:40.58" personId="{2E38CAA5-AC3F-405E-ACD6-A6E054D380C0}" id="{ACB38366-928E-47DE-9F3E-7E9D4381EE9A}">
    <text>Tarvittaessa laske ja täytä kokonaisteho itse</text>
  </threadedComment>
  <threadedComment ref="E67" dT="2024-01-17T11:42:45.49" personId="{2E38CAA5-AC3F-405E-ACD6-A6E054D380C0}" id="{9DF02019-CB4B-47EC-8510-9C6628A8478D}">
    <text>Tarvittaessa laske ja täytä kokonaisteho itse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tabColor theme="6"/>
    <pageSetUpPr fitToPage="1"/>
  </sheetPr>
  <dimension ref="B1:S73"/>
  <sheetViews>
    <sheetView showGridLines="0" tabSelected="1" zoomScaleNormal="100" workbookViewId="0">
      <selection activeCell="B1" sqref="B1:S1"/>
    </sheetView>
  </sheetViews>
  <sheetFormatPr defaultColWidth="2.5" defaultRowHeight="11.25" x14ac:dyDescent="0.2"/>
  <cols>
    <col min="1" max="1" width="2.5" style="14"/>
    <col min="2" max="2" width="11.75" style="41" customWidth="1"/>
    <col min="3" max="3" width="8.125" style="14" customWidth="1"/>
    <col min="4" max="4" width="1.25" style="14" customWidth="1"/>
    <col min="5" max="5" width="8.25" style="14" customWidth="1"/>
    <col min="6" max="6" width="1.25" style="14" customWidth="1"/>
    <col min="7" max="7" width="8.125" style="36" customWidth="1"/>
    <col min="8" max="8" width="1.25" style="14" customWidth="1"/>
    <col min="9" max="9" width="8.125" style="14" customWidth="1"/>
    <col min="10" max="13" width="2.5" style="14"/>
    <col min="14" max="14" width="8.125" style="41" customWidth="1"/>
    <col min="15" max="15" width="8.125" style="14" customWidth="1"/>
    <col min="16" max="16" width="1.25" style="14" customWidth="1"/>
    <col min="17" max="17" width="8.125" style="14" customWidth="1"/>
    <col min="18" max="18" width="1.25" style="14" customWidth="1"/>
    <col min="19" max="19" width="8.125" style="14" customWidth="1"/>
    <col min="20" max="20" width="2.5" style="14"/>
    <col min="21" max="53" width="2.375" style="14" customWidth="1"/>
    <col min="54" max="16384" width="2.5" style="14"/>
  </cols>
  <sheetData>
    <row r="1" spans="2:19" ht="12.75" x14ac:dyDescent="0.2">
      <c r="B1" s="63" t="s">
        <v>125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3" spans="2:19" ht="12.75" x14ac:dyDescent="0.2">
      <c r="B3" s="60" t="s">
        <v>0</v>
      </c>
      <c r="C3" s="60"/>
      <c r="D3" s="60"/>
      <c r="E3" s="60"/>
      <c r="F3" s="60"/>
      <c r="G3" s="60"/>
      <c r="H3" s="60"/>
      <c r="I3" s="60"/>
      <c r="N3" s="61" t="s">
        <v>1</v>
      </c>
      <c r="O3" s="61"/>
      <c r="P3" s="61"/>
      <c r="Q3" s="61"/>
      <c r="R3" s="61"/>
      <c r="S3" s="61"/>
    </row>
    <row r="4" spans="2:19" x14ac:dyDescent="0.2">
      <c r="G4" s="14"/>
    </row>
    <row r="5" spans="2:19" x14ac:dyDescent="0.2">
      <c r="C5" s="18"/>
      <c r="E5" s="17" t="s">
        <v>2</v>
      </c>
      <c r="F5" s="17"/>
      <c r="G5" s="17" t="s">
        <v>3</v>
      </c>
      <c r="H5" s="18"/>
      <c r="N5" s="42"/>
      <c r="Q5" s="17" t="s">
        <v>2</v>
      </c>
      <c r="R5" s="17"/>
      <c r="S5" s="17" t="s">
        <v>3</v>
      </c>
    </row>
    <row r="6" spans="2:19" s="7" customFormat="1" ht="12.75" customHeight="1" x14ac:dyDescent="0.2">
      <c r="B6" s="29"/>
      <c r="C6" s="13" t="s">
        <v>4</v>
      </c>
      <c r="E6" s="8">
        <f>SUM(E14+E20+E29+E34+E36+E38+E40+E51+E59+E63+E68)</f>
        <v>0</v>
      </c>
      <c r="F6" s="9"/>
      <c r="G6" s="10">
        <f>SUM(G14+G20+G29+G34+G36+G38+G40+G51+G59+G63+G68)</f>
        <v>0</v>
      </c>
      <c r="H6" s="11"/>
      <c r="I6" s="14"/>
      <c r="K6" s="12"/>
      <c r="N6" s="62" t="s">
        <v>4</v>
      </c>
      <c r="O6" s="62"/>
      <c r="P6" s="14"/>
      <c r="Q6" s="15">
        <f>Q20</f>
        <v>0</v>
      </c>
      <c r="R6" s="9"/>
      <c r="S6" s="16">
        <f>S20</f>
        <v>0</v>
      </c>
    </row>
    <row r="7" spans="2:19" x14ac:dyDescent="0.2">
      <c r="G7" s="14"/>
    </row>
    <row r="8" spans="2:19" x14ac:dyDescent="0.2">
      <c r="B8" s="42"/>
      <c r="C8" s="18" t="s">
        <v>5</v>
      </c>
      <c r="E8" s="18" t="s">
        <v>2</v>
      </c>
      <c r="F8" s="18"/>
      <c r="G8" s="19" t="s">
        <v>3</v>
      </c>
      <c r="H8" s="20"/>
      <c r="I8" s="19" t="s">
        <v>6</v>
      </c>
      <c r="N8" s="42"/>
      <c r="O8" s="18"/>
      <c r="Q8" s="18" t="s">
        <v>2</v>
      </c>
      <c r="S8" s="19" t="s">
        <v>3</v>
      </c>
    </row>
    <row r="9" spans="2:19" x14ac:dyDescent="0.2">
      <c r="B9" s="29" t="s">
        <v>7</v>
      </c>
      <c r="C9" s="13">
        <v>50</v>
      </c>
      <c r="E9" s="21">
        <f>0.06*G9</f>
        <v>0</v>
      </c>
      <c r="F9" s="22"/>
      <c r="G9" s="23">
        <f>nyk_lukumäärät!E17</f>
        <v>0</v>
      </c>
      <c r="H9" s="24"/>
      <c r="I9" s="34"/>
      <c r="L9" s="44"/>
      <c r="N9" s="29" t="s">
        <v>8</v>
      </c>
      <c r="O9" s="13">
        <v>800</v>
      </c>
      <c r="Q9" s="21">
        <f>(suun_lukumäärät!$C$7*suun_lukumäärät!D7+suun_lukumäärät!$C$8*suun_lukumäärät!D8+suun_lukumäärät!$C$9*suun_lukumäärät!D9+suun_lukumäärät!$C$10*suun_lukumäärät!D10+suun_lukumäärät!$C$11*suun_lukumäärät!D11+suun_lukumäärät!$C$12*suun_lukumäärät!D12+suun_lukumäärät!$C$13*suun_lukumäärät!D13+suun_lukumäärät!$C$14*suun_lukumäärät!D14+suun_lukumäärät!$C$15*suun_lukumäärät!D15+suun_lukumäärät!$C$16*suun_lukumäärät!D16+suun_lukumäärät!$C$17*suun_lukumäärät!D17+suun_lukumäärät!$C$18*suun_lukumäärät!D18+suun_lukumäärät!$C$19*suun_lukumäärät!D19+suun_lukumäärät!$C$20*suun_lukumäärät!D20+suun_lukumäärät!$C$21*suun_lukumäärät!D21+suun_lukumäärät!$C$22*suun_lukumäärät!D22+suun_lukumäärät!$C$23*suun_lukumäärät!D23+suun_lukumäärät!$C$24*suun_lukumäärät!D24+suun_lukumäärät!$C$25*suun_lukumäärät!D25+suun_lukumäärät!$C$26*suun_lukumäärät!D26+suun_lukumäärät!$C$27*suun_lukumäärät!D27+suun_lukumäärät!$C$28*suun_lukumäärät!D28+suun_lukumäärät!$C$29*suun_lukumäärät!D29+suun_lukumäärät!$C$30*suun_lukumäärät!D30+suun_lukumäärät!$C$31*suun_lukumäärät!D31+suun_lukumäärät!$C$32*suun_lukumäärät!D32+suun_lukumäärät!$C$33*suun_lukumäärät!D33+suun_lukumäärät!$C$34*suun_lukumäärät!D34+suun_lukumäärät!$C$35*suun_lukumäärät!D35)/1000</f>
        <v>0</v>
      </c>
      <c r="S9" s="23">
        <f>SUM(suun_lukumäärät!D7:D35)</f>
        <v>0</v>
      </c>
    </row>
    <row r="10" spans="2:19" x14ac:dyDescent="0.2">
      <c r="B10" s="29"/>
      <c r="C10" s="13">
        <v>80</v>
      </c>
      <c r="E10" s="21">
        <f>0.091*G10</f>
        <v>0</v>
      </c>
      <c r="F10" s="22"/>
      <c r="G10" s="23">
        <f>nyk_lukumäärät!E8</f>
        <v>0</v>
      </c>
      <c r="H10" s="24"/>
      <c r="I10" s="34"/>
      <c r="N10" s="29"/>
      <c r="O10" s="13">
        <v>801</v>
      </c>
      <c r="Q10" s="21">
        <f>(suun_lukumäärät!$C$7*suun_lukumäärät!E7+suun_lukumäärät!$C$8*suun_lukumäärät!E8+suun_lukumäärät!$C$9*suun_lukumäärät!E9+suun_lukumäärät!$C$10*suun_lukumäärät!E10+suun_lukumäärät!$C$11*suun_lukumäärät!E11+suun_lukumäärät!$C$12*suun_lukumäärät!E12+suun_lukumäärät!$C$13*suun_lukumäärät!E13+suun_lukumäärät!$C$14*suun_lukumäärät!E14+suun_lukumäärät!$C$15*suun_lukumäärät!E15+suun_lukumäärät!$C$16*suun_lukumäärät!E16+suun_lukumäärät!$C$17*suun_lukumäärät!E17+suun_lukumäärät!$C$18*suun_lukumäärät!E18+suun_lukumäärät!$C$19*suun_lukumäärät!E19+suun_lukumäärät!$C$20*suun_lukumäärät!E20+suun_lukumäärät!$C$21*suun_lukumäärät!E21+suun_lukumäärät!$C$22*suun_lukumäärät!E22+suun_lukumäärät!$C$23*suun_lukumäärät!E23+suun_lukumäärät!$C$24*suun_lukumäärät!E24+suun_lukumäärät!$C$25*suun_lukumäärät!E25+suun_lukumäärät!$C$26*suun_lukumäärät!E26+suun_lukumäärät!$C$27*suun_lukumäärät!E27+suun_lukumäärät!$C$28*suun_lukumäärät!E28+suun_lukumäärät!$C$29*suun_lukumäärät!E29+suun_lukumäärät!$C$30*suun_lukumäärät!E30+suun_lukumäärät!$C$31*suun_lukumäärät!E31+suun_lukumäärät!$C$32*suun_lukumäärät!E32+suun_lukumäärät!$C$33*suun_lukumäärät!E33+suun_lukumäärät!$C$34*suun_lukumäärät!E34+suun_lukumäärät!$C$35*suun_lukumäärät!E35)/1000</f>
        <v>0</v>
      </c>
      <c r="S10" s="23">
        <f>SUM(suun_lukumäärät!E7:E35)</f>
        <v>0</v>
      </c>
    </row>
    <row r="11" spans="2:19" x14ac:dyDescent="0.2">
      <c r="B11" s="29"/>
      <c r="C11" s="13">
        <v>125</v>
      </c>
      <c r="E11" s="21">
        <f>0.141*G11</f>
        <v>0</v>
      </c>
      <c r="F11" s="22"/>
      <c r="G11" s="23">
        <f>nyk_lukumäärät!E7</f>
        <v>0</v>
      </c>
      <c r="H11" s="24"/>
      <c r="I11" s="34"/>
      <c r="N11" s="29"/>
      <c r="O11" s="13">
        <v>802</v>
      </c>
      <c r="Q11" s="21">
        <f>(suun_lukumäärät!$C$7*suun_lukumäärät!F7+suun_lukumäärät!$C$8*suun_lukumäärät!F8+suun_lukumäärät!$C$9*suun_lukumäärät!F9+suun_lukumäärät!$C$10*suun_lukumäärät!F10+suun_lukumäärät!$C$11*suun_lukumäärät!F11+suun_lukumäärät!$C$12*suun_lukumäärät!F12+suun_lukumäärät!$C$13*suun_lukumäärät!F13+suun_lukumäärät!$C$14*suun_lukumäärät!F14+suun_lukumäärät!$C$15*suun_lukumäärät!F15+suun_lukumäärät!$C$16*suun_lukumäärät!F16+suun_lukumäärät!$C$17*suun_lukumäärät!F17+suun_lukumäärät!$C$18*suun_lukumäärät!F18+suun_lukumäärät!$C$19*suun_lukumäärät!F19+suun_lukumäärät!$C$20*suun_lukumäärät!F20+suun_lukumäärät!$C$21*suun_lukumäärät!F21+suun_lukumäärät!$C$22*suun_lukumäärät!F22+suun_lukumäärät!$C$23*suun_lukumäärät!F23+suun_lukumäärät!$C$24*suun_lukumäärät!F24+suun_lukumäärät!$C$25*suun_lukumäärät!F25+suun_lukumäärät!$C$26*suun_lukumäärät!F26+suun_lukumäärät!$C$27*suun_lukumäärät!F27+suun_lukumäärät!$C$28*suun_lukumäärät!F28+suun_lukumäärät!$C$29*suun_lukumäärät!F29+suun_lukumäärät!$C$30*suun_lukumäärät!F30+suun_lukumäärät!$C$31*suun_lukumäärät!F31+suun_lukumäärät!$C$32*suun_lukumäärät!F32+suun_lukumäärät!$C$33*suun_lukumäärät!F33+suun_lukumäärät!$C$34*suun_lukumäärät!F34+suun_lukumäärät!$C$35*suun_lukumäärät!F35)/1000</f>
        <v>0</v>
      </c>
      <c r="S11" s="23">
        <f>SUM(suun_lukumäärät!F7:F35)</f>
        <v>0</v>
      </c>
    </row>
    <row r="12" spans="2:19" x14ac:dyDescent="0.2">
      <c r="B12" s="29"/>
      <c r="C12" s="13">
        <v>250</v>
      </c>
      <c r="E12" s="21">
        <f>0.27*G12</f>
        <v>0</v>
      </c>
      <c r="F12" s="22"/>
      <c r="G12" s="23">
        <f>nyk_lukumäärät!E6</f>
        <v>0</v>
      </c>
      <c r="H12" s="24"/>
      <c r="I12" s="34"/>
      <c r="N12" s="29"/>
      <c r="O12" s="13">
        <v>803</v>
      </c>
      <c r="Q12" s="21">
        <f>(suun_lukumäärät!$C$7*suun_lukumäärät!G7+suun_lukumäärät!$C$8*suun_lukumäärät!G8+suun_lukumäärät!$C$9*suun_lukumäärät!G9+suun_lukumäärät!$C$10*suun_lukumäärät!G10+suun_lukumäärät!$C$11*suun_lukumäärät!G11+suun_lukumäärät!$C$12*suun_lukumäärät!G12+suun_lukumäärät!$C$13*suun_lukumäärät!G13+suun_lukumäärät!$C$14*suun_lukumäärät!G14+suun_lukumäärät!$C$15*suun_lukumäärät!G15+suun_lukumäärät!$C$16*suun_lukumäärät!G16+suun_lukumäärät!$C$17*suun_lukumäärät!G17+suun_lukumäärät!$C$18*suun_lukumäärät!G18+suun_lukumäärät!$C$19*suun_lukumäärät!G19+suun_lukumäärät!$C$20*suun_lukumäärät!G20+suun_lukumäärät!$C$21*suun_lukumäärät!G21+suun_lukumäärät!$C$22*suun_lukumäärät!G22+suun_lukumäärät!$C$23*suun_lukumäärät!G23+suun_lukumäärät!$C$24*suun_lukumäärät!G24+suun_lukumäärät!$C$25*suun_lukumäärät!G25+suun_lukumäärät!$C$26*suun_lukumäärät!G26+suun_lukumäärät!$C$27*suun_lukumäärät!G27+suun_lukumäärät!$C$28*suun_lukumäärät!G28+suun_lukumäärät!$C$29*suun_lukumäärät!G29+suun_lukumäärät!$C$30*suun_lukumäärät!G30+suun_lukumäärät!$C$31*suun_lukumäärät!G31+suun_lukumäärät!$C$32*suun_lukumäärät!G32+suun_lukumäärät!$C$33*suun_lukumäärät!G33+suun_lukumäärät!$C$34*suun_lukumäärät!G34+suun_lukumäärät!$C$35*suun_lukumäärät!G35)/1000</f>
        <v>0</v>
      </c>
      <c r="S12" s="23">
        <f>SUM(suun_lukumäärät!G7:G35)</f>
        <v>0</v>
      </c>
    </row>
    <row r="13" spans="2:19" x14ac:dyDescent="0.2">
      <c r="B13" s="29"/>
      <c r="C13" s="13">
        <v>400</v>
      </c>
      <c r="E13" s="25">
        <f>0.426*G13</f>
        <v>0</v>
      </c>
      <c r="F13" s="22"/>
      <c r="G13" s="26">
        <f>nyk_lukumäärät!E5</f>
        <v>0</v>
      </c>
      <c r="H13" s="24"/>
      <c r="I13" s="34"/>
      <c r="N13" s="29"/>
      <c r="O13" s="13">
        <v>804</v>
      </c>
      <c r="Q13" s="21">
        <f>(suun_lukumäärät!$C$7*suun_lukumäärät!H7+suun_lukumäärät!$C$8*suun_lukumäärät!H8+suun_lukumäärät!$C$9*suun_lukumäärät!H9+suun_lukumäärät!$C$10*suun_lukumäärät!H10+suun_lukumäärät!$C$11*suun_lukumäärät!H11+suun_lukumäärät!$C$12*suun_lukumäärät!H12+suun_lukumäärät!$C$13*suun_lukumäärät!H13+suun_lukumäärät!$C$14*suun_lukumäärät!H14+suun_lukumäärät!$C$15*suun_lukumäärät!H15+suun_lukumäärät!$C$16*suun_lukumäärät!H16+suun_lukumäärät!$C$17*suun_lukumäärät!H17+suun_lukumäärät!$C$18*suun_lukumäärät!H18+suun_lukumäärät!$C$19*suun_lukumäärät!H19+suun_lukumäärät!$C$20*suun_lukumäärät!H20+suun_lukumäärät!$C$21*suun_lukumäärät!H21+suun_lukumäärät!$C$22*suun_lukumäärät!H22+suun_lukumäärät!$C$23*suun_lukumäärät!H23+suun_lukumäärät!$C$24*suun_lukumäärät!H24+suun_lukumäärät!$C$25*suun_lukumäärät!H25+suun_lukumäärät!$C$26*suun_lukumäärät!H26+suun_lukumäärät!$C$27*suun_lukumäärät!H27+suun_lukumäärät!$C$28*suun_lukumäärät!H28+suun_lukumäärät!$C$29*suun_lukumäärät!H29+suun_lukumäärät!$C$30*suun_lukumäärät!H30+suun_lukumäärät!$C$31*suun_lukumäärät!H31+suun_lukumäärät!$C$32*suun_lukumäärät!H32+suun_lukumäärät!$C$33*suun_lukumäärät!H33+suun_lukumäärät!$C$34*suun_lukumäärät!H34+suun_lukumäärät!$C$35*suun_lukumäärät!H35)/1000</f>
        <v>0</v>
      </c>
      <c r="S13" s="23">
        <f>SUM(suun_lukumäärät!H7:H35)</f>
        <v>0</v>
      </c>
    </row>
    <row r="14" spans="2:19" x14ac:dyDescent="0.2">
      <c r="B14" s="42"/>
      <c r="C14" s="18"/>
      <c r="E14" s="21">
        <f>SUM(E9:E13)</f>
        <v>0</v>
      </c>
      <c r="F14" s="22"/>
      <c r="G14" s="23">
        <f>SUM(G9:G13)</f>
        <v>0</v>
      </c>
      <c r="H14" s="24"/>
      <c r="I14" s="27" t="e">
        <f>G14/G6*100</f>
        <v>#DIV/0!</v>
      </c>
      <c r="N14" s="29"/>
      <c r="O14" s="13">
        <v>805</v>
      </c>
      <c r="Q14" s="21">
        <f>(suun_lukumäärät!$C$7*suun_lukumäärät!I7+suun_lukumäärät!$C$8*suun_lukumäärät!I8+suun_lukumäärät!$C$9*suun_lukumäärät!I9+suun_lukumäärät!$C$10*suun_lukumäärät!I10+suun_lukumäärät!$C$11*suun_lukumäärät!I11+suun_lukumäärät!$C$12*suun_lukumäärät!I12+suun_lukumäärät!$C$13*suun_lukumäärät!I13+suun_lukumäärät!$C$14*suun_lukumäärät!I14+suun_lukumäärät!$C$15*suun_lukumäärät!I15+suun_lukumäärät!$C$16*suun_lukumäärät!I16+suun_lukumäärät!$C$17*suun_lukumäärät!I17+suun_lukumäärät!$C$18*suun_lukumäärät!I18+suun_lukumäärät!$C$19*suun_lukumäärät!I19+suun_lukumäärät!$C$20*suun_lukumäärät!I20+suun_lukumäärät!$C$21*suun_lukumäärät!I21+suun_lukumäärät!$C$22*suun_lukumäärät!I22+suun_lukumäärät!$C$23*suun_lukumäärät!I23+suun_lukumäärät!$C$24*suun_lukumäärät!I24+suun_lukumäärät!$C$25*suun_lukumäärät!I25+suun_lukumäärät!$C$26*suun_lukumäärät!I26+suun_lukumäärät!$C$27*suun_lukumäärät!I27+suun_lukumäärät!$C$28*suun_lukumäärät!I28+suun_lukumäärät!$C$29*suun_lukumäärät!I29+suun_lukumäärät!$C$30*suun_lukumäärät!I30+suun_lukumäärät!$C$31*suun_lukumäärät!I31+suun_lukumäärät!$C$32*suun_lukumäärät!I32+suun_lukumäärät!$C$33*suun_lukumäärät!I33+suun_lukumäärät!$C$34*suun_lukumäärät!I34+suun_lukumäärät!$C$35*suun_lukumäärät!I35)/1000</f>
        <v>0</v>
      </c>
      <c r="S14" s="23">
        <f>SUM(suun_lukumäärät!I7:I35)</f>
        <v>0</v>
      </c>
    </row>
    <row r="15" spans="2:19" x14ac:dyDescent="0.2">
      <c r="B15" s="42"/>
      <c r="C15" s="18"/>
      <c r="E15" s="22"/>
      <c r="F15" s="22"/>
      <c r="G15" s="28"/>
      <c r="H15" s="24"/>
      <c r="I15" s="34"/>
      <c r="N15" s="29"/>
      <c r="O15" s="13">
        <v>806</v>
      </c>
      <c r="Q15" s="21">
        <f>(suun_lukumäärät!$C$7*suun_lukumäärät!J7+suun_lukumäärät!$C$8*suun_lukumäärät!J8+suun_lukumäärät!$C$9*suun_lukumäärät!J9+suun_lukumäärät!$C$10*suun_lukumäärät!J10+suun_lukumäärät!$C$11*suun_lukumäärät!J11+suun_lukumäärät!$C$12*suun_lukumäärät!J12+suun_lukumäärät!$C$13*suun_lukumäärät!J13+suun_lukumäärät!$C$14*suun_lukumäärät!J14+suun_lukumäärät!$C$15*suun_lukumäärät!J15+suun_lukumäärät!$C$16*suun_lukumäärät!J16+suun_lukumäärät!$C$17*suun_lukumäärät!J17+suun_lukumäärät!$C$18*suun_lukumäärät!J18+suun_lukumäärät!$C$19*suun_lukumäärät!J19+suun_lukumäärät!$C$20*suun_lukumäärät!J20+suun_lukumäärät!$C$21*suun_lukumäärät!J21+suun_lukumäärät!$C$22*suun_lukumäärät!J22+suun_lukumäärät!$C$23*suun_lukumäärät!J23+suun_lukumäärät!$C$24*suun_lukumäärät!J24+suun_lukumäärät!$C$25*suun_lukumäärät!J25+suun_lukumäärät!$C$26*suun_lukumäärät!J26+suun_lukumäärät!$C$27*suun_lukumäärät!J27+suun_lukumäärät!$C$28*suun_lukumäärät!J28+suun_lukumäärät!$C$29*suun_lukumäärät!J29+suun_lukumäärät!$C$30*suun_lukumäärät!J30+suun_lukumäärät!$C$31*suun_lukumäärät!J31+suun_lukumäärät!$C$32*suun_lukumäärät!J32+suun_lukumäärät!$C$33*suun_lukumäärät!J33+suun_lukumäärät!$C$34*suun_lukumäärät!J34+suun_lukumäärät!$C$35*suun_lukumäärät!J35)/1000</f>
        <v>0</v>
      </c>
      <c r="S15" s="23">
        <f>SUM(suun_lukumäärät!J7:J35)</f>
        <v>0</v>
      </c>
    </row>
    <row r="16" spans="2:19" x14ac:dyDescent="0.2">
      <c r="B16" s="29" t="s">
        <v>9</v>
      </c>
      <c r="C16" s="13">
        <v>75</v>
      </c>
      <c r="E16" s="21">
        <f>0.084*G16</f>
        <v>0</v>
      </c>
      <c r="F16" s="22"/>
      <c r="G16" s="30">
        <f>nyk_lukumäärät!E23</f>
        <v>0</v>
      </c>
      <c r="H16" s="24"/>
      <c r="I16" s="34"/>
      <c r="N16" s="29"/>
      <c r="O16" s="13">
        <v>807</v>
      </c>
      <c r="Q16" s="21">
        <f>(suun_lukumäärät!$C$7*suun_lukumäärät!K7+suun_lukumäärät!$C$8*suun_lukumäärät!K8+suun_lukumäärät!$C$9*suun_lukumäärät!K9+suun_lukumäärät!$C$10*suun_lukumäärät!K10+suun_lukumäärät!$C$11*suun_lukumäärät!K11+suun_lukumäärät!$C$12*suun_lukumäärät!K12+suun_lukumäärät!$C$13*suun_lukumäärät!K13+suun_lukumäärät!$C$14*suun_lukumäärät!K14+suun_lukumäärät!$C$15*suun_lukumäärät!K15+suun_lukumäärät!$C$16*suun_lukumäärät!K16+suun_lukumäärät!$C$17*suun_lukumäärät!K17+suun_lukumäärät!$C$18*suun_lukumäärät!K18+suun_lukumäärät!$C$19*suun_lukumäärät!K19+suun_lukumäärät!$C$20*suun_lukumäärät!K20+suun_lukumäärät!$C$21*suun_lukumäärät!K21+suun_lukumäärät!$C$22*suun_lukumäärät!K22+suun_lukumäärät!$C$23*suun_lukumäärät!K23+suun_lukumäärät!$C$24*suun_lukumäärät!K24+suun_lukumäärät!$C$25*suun_lukumäärät!K25+suun_lukumäärät!$C$26*suun_lukumäärät!K26+suun_lukumäärät!$C$27*suun_lukumäärät!K27+suun_lukumäärät!$C$28*suun_lukumäärät!K28+suun_lukumäärät!$C$29*suun_lukumäärät!K29+suun_lukumäärät!$C$30*suun_lukumäärät!K30+suun_lukumäärät!$C$31*suun_lukumäärät!K31+suun_lukumäärät!$C$32*suun_lukumäärät!K32+suun_lukumäärät!$C$33*suun_lukumäärät!K33+suun_lukumäärät!$C$34*suun_lukumäärät!K34+suun_lukumäärät!$C$35*suun_lukumäärät!K35)/1000</f>
        <v>0</v>
      </c>
      <c r="S16" s="23">
        <f>SUM(suun_lukumäärät!K7:K35)</f>
        <v>0</v>
      </c>
    </row>
    <row r="17" spans="2:19" x14ac:dyDescent="0.2">
      <c r="B17" s="29" t="s">
        <v>10</v>
      </c>
      <c r="C17" s="13" t="s">
        <v>11</v>
      </c>
      <c r="E17" s="21">
        <f>0.124*G17</f>
        <v>0</v>
      </c>
      <c r="F17" s="22"/>
      <c r="G17" s="30">
        <f>nyk_lukumäärät!E14+nyk_lukumäärät!E26</f>
        <v>0</v>
      </c>
      <c r="H17" s="24"/>
      <c r="I17" s="34"/>
      <c r="N17" s="29"/>
      <c r="O17" s="13">
        <v>808</v>
      </c>
      <c r="Q17" s="21">
        <f>(suun_lukumäärät!$C$7*suun_lukumäärät!L7+suun_lukumäärät!$C$8*suun_lukumäärät!L8+suun_lukumäärät!$C$9*suun_lukumäärät!L9+suun_lukumäärät!$C$10*suun_lukumäärät!L10+suun_lukumäärät!$C$11*suun_lukumäärät!L11+suun_lukumäärät!$C$12*suun_lukumäärät!L12+suun_lukumäärät!$C$13*suun_lukumäärät!L13+suun_lukumäärät!$C$14*suun_lukumäärät!L14+suun_lukumäärät!$C$15*suun_lukumäärät!L15+suun_lukumäärät!$C$16*suun_lukumäärät!L16+suun_lukumäärät!$C$17*suun_lukumäärät!L17+suun_lukumäärät!$C$18*suun_lukumäärät!L18+suun_lukumäärät!$C$19*suun_lukumäärät!L19+suun_lukumäärät!$C$20*suun_lukumäärät!L20+suun_lukumäärät!$C$21*suun_lukumäärät!L21+suun_lukumäärät!$C$22*suun_lukumäärät!L22+suun_lukumäärät!$C$23*suun_lukumäärät!L23+suun_lukumäärät!$C$24*suun_lukumäärät!L24+suun_lukumäärät!$C$25*suun_lukumäärät!L25+suun_lukumäärät!$C$26*suun_lukumäärät!L26+suun_lukumäärät!$C$27*suun_lukumäärät!L27+suun_lukumäärät!$C$28*suun_lukumäärät!L28+suun_lukumäärät!$C$29*suun_lukumäärät!L29+suun_lukumäärät!$C$30*suun_lukumäärät!L30+suun_lukumäärät!$C$31*suun_lukumäärät!L31+suun_lukumäärät!$C$32*suun_lukumäärät!L32+suun_lukumäärät!$C$33*suun_lukumäärät!L33+suun_lukumäärät!$C$34*suun_lukumäärät!L34+suun_lukumäärät!$C$35*suun_lukumäärät!L35)/1000</f>
        <v>0</v>
      </c>
      <c r="S17" s="23">
        <f>SUM(suun_lukumäärät!L7:L35)</f>
        <v>0</v>
      </c>
    </row>
    <row r="18" spans="2:19" x14ac:dyDescent="0.2">
      <c r="B18" s="29" t="s">
        <v>12</v>
      </c>
      <c r="C18" s="13" t="s">
        <v>13</v>
      </c>
      <c r="E18" s="21">
        <f>0.243*G18</f>
        <v>0</v>
      </c>
      <c r="F18" s="22"/>
      <c r="G18" s="30">
        <f>nyk_lukumäärät!E12+nyk_lukumäärät!E27</f>
        <v>0</v>
      </c>
      <c r="H18" s="24"/>
      <c r="I18" s="34"/>
      <c r="N18" s="29"/>
      <c r="O18" s="13">
        <v>809</v>
      </c>
      <c r="Q18" s="21">
        <f>(suun_lukumäärät!$C$7*suun_lukumäärät!M7+suun_lukumäärät!$C$8*suun_lukumäärät!M8+suun_lukumäärät!$C$9*suun_lukumäärät!M9+suun_lukumäärät!$C$10*suun_lukumäärät!M10+suun_lukumäärät!$C$11*suun_lukumäärät!M11+suun_lukumäärät!$C$12*suun_lukumäärät!M12+suun_lukumäärät!$C$13*suun_lukumäärät!M13+suun_lukumäärät!$C$14*suun_lukumäärät!M14+suun_lukumäärät!$C$15*suun_lukumäärät!M15+suun_lukumäärät!$C$16*suun_lukumäärät!M16+suun_lukumäärät!$C$17*suun_lukumäärät!M17+suun_lukumäärät!$C$18*suun_lukumäärät!M18+suun_lukumäärät!$C$19*suun_lukumäärät!M19+suun_lukumäärät!$C$20*suun_lukumäärät!M20+suun_lukumäärät!$C$21*suun_lukumäärät!M21+suun_lukumäärät!$C$22*suun_lukumäärät!M22+suun_lukumäärät!$C$23*suun_lukumäärät!M23+suun_lukumäärät!$C$24*suun_lukumäärät!M24+suun_lukumäärät!$C$25*suun_lukumäärät!M25+suun_lukumäärät!$C$26*suun_lukumäärät!M26+suun_lukumäärät!$C$27*suun_lukumäärät!M27+suun_lukumäärät!$C$28*suun_lukumäärät!M28+suun_lukumäärät!$C$29*suun_lukumäärät!M29+suun_lukumäärät!$C$30*suun_lukumäärät!M30+suun_lukumäärät!$C$31*suun_lukumäärät!M31+suun_lukumäärät!$C$32*suun_lukumäärät!M32+suun_lukumäärät!$C$33*suun_lukumäärät!M33+suun_lukumäärät!$C$34*suun_lukumäärät!M34+suun_lukumäärät!$C$35*suun_lukumäärät!M35)/1000</f>
        <v>0</v>
      </c>
      <c r="S18" s="23">
        <f>SUM(suun_lukumäärät!M7:M35)</f>
        <v>0</v>
      </c>
    </row>
    <row r="19" spans="2:19" x14ac:dyDescent="0.2">
      <c r="B19" s="29"/>
      <c r="C19" s="13">
        <v>350</v>
      </c>
      <c r="E19" s="25">
        <f>0.39*G19</f>
        <v>0</v>
      </c>
      <c r="F19" s="22"/>
      <c r="G19" s="23">
        <f>nyk_lukumäärät!E10</f>
        <v>0</v>
      </c>
      <c r="H19" s="24"/>
      <c r="I19" s="34"/>
      <c r="N19" s="29"/>
      <c r="O19" s="13">
        <v>810</v>
      </c>
      <c r="Q19" s="31">
        <f>(suun_lukumäärät!$C$7*suun_lukumäärät!N7+suun_lukumäärät!$C$8*suun_lukumäärät!N8+suun_lukumäärät!$C$9*suun_lukumäärät!N9+suun_lukumäärät!$C$10*suun_lukumäärät!N10+suun_lukumäärät!$C$11*suun_lukumäärät!N11+suun_lukumäärät!$C$12*suun_lukumäärät!N12+suun_lukumäärät!$C$13*suun_lukumäärät!N13+suun_lukumäärät!$C$14*suun_lukumäärät!N14+suun_lukumäärät!$C$15*suun_lukumäärät!N15+suun_lukumäärät!$C$16*suun_lukumäärät!N16+suun_lukumäärät!$C$17*suun_lukumäärät!N17+suun_lukumäärät!$C$18*suun_lukumäärät!N18+suun_lukumäärät!$C$19*suun_lukumäärät!N19+suun_lukumäärät!$C$20*suun_lukumäärät!N20+suun_lukumäärät!$C$21*suun_lukumäärät!N21+suun_lukumäärät!$C$22*suun_lukumäärät!N22+suun_lukumäärät!$C$23*suun_lukumäärät!N23+suun_lukumäärät!$C$24*suun_lukumäärät!N24+suun_lukumäärät!$C$25*suun_lukumäärät!N25+suun_lukumäärät!$C$26*suun_lukumäärät!N26+suun_lukumäärät!$C$27*suun_lukumäärät!N27+suun_lukumäärät!$C$28*suun_lukumäärät!N28+suun_lukumäärät!$C$29*suun_lukumäärät!N29+suun_lukumäärät!$C$30*suun_lukumäärät!N30+suun_lukumäärät!$C$31*suun_lukumäärät!N31+suun_lukumäärät!$C$32*suun_lukumäärät!N32+suun_lukumäärät!$C$33*suun_lukumäärät!N33+suun_lukumäärät!$C$34*suun_lukumäärät!N34+suun_lukumäärät!$C$35*suun_lukumäärät!N35)/1000</f>
        <v>0</v>
      </c>
      <c r="S19" s="26">
        <f>SUM(suun_lukumäärät!N7:N35)</f>
        <v>0</v>
      </c>
    </row>
    <row r="20" spans="2:19" x14ac:dyDescent="0.2">
      <c r="B20" s="42"/>
      <c r="C20" s="18"/>
      <c r="E20" s="21">
        <f>SUM(E16:E19)</f>
        <v>0</v>
      </c>
      <c r="F20" s="22"/>
      <c r="G20" s="32">
        <f>SUM(G16:G19)</f>
        <v>0</v>
      </c>
      <c r="H20" s="24"/>
      <c r="I20" s="27" t="e">
        <f>G20/G6*100</f>
        <v>#DIV/0!</v>
      </c>
      <c r="Q20" s="21">
        <f>SUM(Q9:Q19)</f>
        <v>0</v>
      </c>
      <c r="S20" s="23">
        <f>SUM(S9:S19)</f>
        <v>0</v>
      </c>
    </row>
    <row r="21" spans="2:19" x14ac:dyDescent="0.2">
      <c r="B21" s="42"/>
      <c r="C21" s="18"/>
      <c r="E21" s="22"/>
      <c r="F21" s="22"/>
      <c r="G21" s="28"/>
      <c r="H21" s="24"/>
      <c r="I21" s="34"/>
    </row>
    <row r="22" spans="2:19" x14ac:dyDescent="0.2">
      <c r="B22" s="29" t="s">
        <v>10</v>
      </c>
      <c r="C22" s="13">
        <v>50</v>
      </c>
      <c r="E22" s="27">
        <f>0.064*G22</f>
        <v>0</v>
      </c>
      <c r="F22" s="22"/>
      <c r="G22" s="33">
        <f>nyk_lukumäärät!E22</f>
        <v>0</v>
      </c>
      <c r="H22" s="24"/>
      <c r="I22" s="34"/>
      <c r="N22" s="64" t="s">
        <v>14</v>
      </c>
      <c r="O22" s="64"/>
      <c r="P22" s="64"/>
      <c r="Q22" s="64"/>
      <c r="R22" s="64"/>
      <c r="S22" s="64"/>
    </row>
    <row r="23" spans="2:19" ht="14.25" x14ac:dyDescent="0.2">
      <c r="B23" s="29" t="s">
        <v>12</v>
      </c>
      <c r="C23" s="13">
        <v>70</v>
      </c>
      <c r="E23" s="21">
        <f>0.084*G23</f>
        <v>0</v>
      </c>
      <c r="F23" s="22"/>
      <c r="G23" s="23">
        <f>nyk_lukumäärät!E16</f>
        <v>0</v>
      </c>
      <c r="H23" s="45"/>
      <c r="I23" s="34"/>
      <c r="N23" s="59"/>
      <c r="O23" s="59"/>
      <c r="P23" s="59"/>
      <c r="Q23" s="59"/>
      <c r="R23" s="59"/>
      <c r="S23" s="59"/>
    </row>
    <row r="24" spans="2:19" ht="13.15" customHeight="1" x14ac:dyDescent="0.2">
      <c r="B24" s="43"/>
      <c r="C24" s="13">
        <v>100</v>
      </c>
      <c r="E24" s="21">
        <f>0.116*G24</f>
        <v>0</v>
      </c>
      <c r="F24" s="22"/>
      <c r="G24" s="23">
        <f>nyk_lukumäärät!E15</f>
        <v>0</v>
      </c>
      <c r="H24" s="24"/>
      <c r="I24" s="34"/>
      <c r="N24" s="59"/>
      <c r="O24" s="59"/>
      <c r="P24" s="59"/>
      <c r="Q24" s="59"/>
      <c r="R24" s="59"/>
      <c r="S24" s="59"/>
    </row>
    <row r="25" spans="2:19" ht="13.15" customHeight="1" x14ac:dyDescent="0.2">
      <c r="B25" s="29"/>
      <c r="C25" s="13">
        <v>150</v>
      </c>
      <c r="E25" s="21">
        <f>0.172*G25</f>
        <v>0</v>
      </c>
      <c r="F25" s="22"/>
      <c r="G25" s="23">
        <f>nyk_lukumäärät!E13</f>
        <v>0</v>
      </c>
      <c r="H25" s="24"/>
      <c r="I25" s="34"/>
      <c r="N25" s="59"/>
      <c r="O25" s="59"/>
      <c r="P25" s="59"/>
      <c r="Q25" s="59"/>
      <c r="R25" s="59"/>
      <c r="S25" s="59"/>
    </row>
    <row r="26" spans="2:19" ht="13.15" customHeight="1" x14ac:dyDescent="0.2">
      <c r="B26" s="29"/>
      <c r="C26" s="13">
        <v>250</v>
      </c>
      <c r="E26" s="21">
        <f>0.284*G26</f>
        <v>0</v>
      </c>
      <c r="F26" s="22"/>
      <c r="G26" s="23">
        <f>nyk_lukumäärät!E11</f>
        <v>0</v>
      </c>
      <c r="H26" s="24"/>
      <c r="I26" s="34"/>
      <c r="N26" s="59"/>
      <c r="O26" s="59"/>
      <c r="P26" s="59"/>
      <c r="Q26" s="59"/>
      <c r="R26" s="59"/>
      <c r="S26" s="59"/>
    </row>
    <row r="27" spans="2:19" ht="13.15" customHeight="1" x14ac:dyDescent="0.2">
      <c r="B27" s="29"/>
      <c r="C27" s="13">
        <v>400</v>
      </c>
      <c r="E27" s="21">
        <f>0.446*G27</f>
        <v>0</v>
      </c>
      <c r="F27" s="22"/>
      <c r="G27" s="23">
        <f>nyk_lukumäärät!E9</f>
        <v>0</v>
      </c>
      <c r="H27" s="24"/>
      <c r="I27" s="34"/>
      <c r="N27" s="59"/>
      <c r="O27" s="59"/>
      <c r="P27" s="59"/>
      <c r="Q27" s="59"/>
      <c r="R27" s="59"/>
      <c r="S27" s="59"/>
    </row>
    <row r="28" spans="2:19" ht="13.15" customHeight="1" x14ac:dyDescent="0.2">
      <c r="B28" s="29"/>
      <c r="C28" s="13">
        <v>600</v>
      </c>
      <c r="E28" s="25">
        <f>0.655*G28</f>
        <v>0</v>
      </c>
      <c r="F28" s="22"/>
      <c r="G28" s="23">
        <f>nyk_lukumäärät!E21</f>
        <v>0</v>
      </c>
      <c r="H28" s="24"/>
      <c r="I28" s="34"/>
      <c r="N28" s="59"/>
      <c r="O28" s="59"/>
      <c r="P28" s="59"/>
      <c r="Q28" s="59"/>
      <c r="R28" s="59"/>
      <c r="S28" s="59"/>
    </row>
    <row r="29" spans="2:19" ht="13.15" customHeight="1" x14ac:dyDescent="0.2">
      <c r="B29" s="42"/>
      <c r="C29" s="18"/>
      <c r="E29" s="21">
        <f>SUM(E22:E28)</f>
        <v>0</v>
      </c>
      <c r="F29" s="22"/>
      <c r="G29" s="32">
        <f>SUM(G22:G28)</f>
        <v>0</v>
      </c>
      <c r="H29" s="24"/>
      <c r="I29" s="27" t="e">
        <f>G29/G6*100</f>
        <v>#DIV/0!</v>
      </c>
      <c r="N29" s="59"/>
      <c r="O29" s="59"/>
      <c r="P29" s="59"/>
      <c r="Q29" s="59"/>
      <c r="R29" s="59"/>
      <c r="S29" s="59"/>
    </row>
    <row r="30" spans="2:19" ht="13.15" customHeight="1" x14ac:dyDescent="0.2">
      <c r="B30" s="42"/>
      <c r="C30" s="18"/>
      <c r="E30" s="22"/>
      <c r="F30" s="22"/>
      <c r="G30" s="28"/>
      <c r="H30" s="24"/>
      <c r="I30" s="34"/>
      <c r="N30" s="59"/>
      <c r="O30" s="59"/>
      <c r="P30" s="59"/>
      <c r="Q30" s="59"/>
      <c r="R30" s="59"/>
      <c r="S30" s="59"/>
    </row>
    <row r="31" spans="2:19" ht="13.15" customHeight="1" x14ac:dyDescent="0.2">
      <c r="B31" s="29" t="s">
        <v>15</v>
      </c>
      <c r="C31" s="13">
        <v>18</v>
      </c>
      <c r="E31" s="21">
        <f>0.025*G31</f>
        <v>0</v>
      </c>
      <c r="F31" s="22"/>
      <c r="G31" s="23">
        <f>nyk_lukumäärät!E38</f>
        <v>0</v>
      </c>
      <c r="H31" s="24"/>
      <c r="I31" s="34"/>
      <c r="N31" s="59"/>
      <c r="O31" s="59"/>
      <c r="P31" s="59"/>
      <c r="Q31" s="59"/>
      <c r="R31" s="59"/>
      <c r="S31" s="59"/>
    </row>
    <row r="32" spans="2:19" ht="13.15" customHeight="1" x14ac:dyDescent="0.2">
      <c r="B32" s="43"/>
      <c r="C32" s="13">
        <v>36</v>
      </c>
      <c r="E32" s="21">
        <f>0.045*G32</f>
        <v>0</v>
      </c>
      <c r="F32" s="22"/>
      <c r="G32" s="23">
        <f>nyk_lukumäärät!E37</f>
        <v>0</v>
      </c>
      <c r="H32" s="24"/>
      <c r="I32" s="34"/>
      <c r="N32" s="59"/>
      <c r="O32" s="59"/>
      <c r="P32" s="59"/>
      <c r="Q32" s="59"/>
      <c r="R32" s="59"/>
      <c r="S32" s="59"/>
    </row>
    <row r="33" spans="2:19" ht="13.15" customHeight="1" x14ac:dyDescent="0.2">
      <c r="B33" s="43"/>
      <c r="C33" s="13">
        <v>58</v>
      </c>
      <c r="E33" s="25">
        <f>0.067*G33</f>
        <v>0</v>
      </c>
      <c r="F33" s="22"/>
      <c r="G33" s="23">
        <f>nyk_lukumäärät!E36</f>
        <v>0</v>
      </c>
      <c r="H33" s="24"/>
      <c r="I33" s="34"/>
      <c r="N33" s="59"/>
      <c r="O33" s="59"/>
      <c r="P33" s="59"/>
      <c r="Q33" s="59"/>
      <c r="R33" s="59"/>
      <c r="S33" s="59"/>
    </row>
    <row r="34" spans="2:19" ht="13.15" customHeight="1" x14ac:dyDescent="0.2">
      <c r="B34" s="42"/>
      <c r="C34" s="18"/>
      <c r="E34" s="21">
        <f>SUM(E31:E33)</f>
        <v>0</v>
      </c>
      <c r="F34" s="22"/>
      <c r="G34" s="32">
        <f>SUM(G31:G33)</f>
        <v>0</v>
      </c>
      <c r="H34" s="24"/>
      <c r="I34" s="27" t="e">
        <f>G34/G6*100</f>
        <v>#DIV/0!</v>
      </c>
      <c r="N34" s="59"/>
      <c r="O34" s="59"/>
      <c r="P34" s="59"/>
      <c r="Q34" s="59"/>
      <c r="R34" s="59"/>
      <c r="S34" s="59"/>
    </row>
    <row r="35" spans="2:19" ht="13.15" customHeight="1" x14ac:dyDescent="0.2">
      <c r="B35" s="42"/>
      <c r="C35" s="18"/>
      <c r="E35" s="22"/>
      <c r="F35" s="22"/>
      <c r="G35" s="28"/>
      <c r="H35" s="24"/>
      <c r="I35" s="34"/>
      <c r="N35" s="59"/>
      <c r="O35" s="59"/>
      <c r="P35" s="59"/>
      <c r="Q35" s="59"/>
      <c r="R35" s="59"/>
      <c r="S35" s="59"/>
    </row>
    <row r="36" spans="2:19" ht="14.25" x14ac:dyDescent="0.2">
      <c r="B36" s="29" t="s">
        <v>16</v>
      </c>
      <c r="C36" s="13"/>
      <c r="E36" s="57">
        <v>0</v>
      </c>
      <c r="F36" s="22"/>
      <c r="G36" s="23">
        <f>nyk_lukumäärät!E24+nyk_lukumäärät!E25</f>
        <v>0</v>
      </c>
      <c r="H36" s="45"/>
      <c r="I36" s="27" t="e">
        <f>G36/G6*100</f>
        <v>#DIV/0!</v>
      </c>
      <c r="N36" s="59"/>
      <c r="O36" s="59"/>
      <c r="P36" s="59"/>
      <c r="Q36" s="59"/>
      <c r="R36" s="59"/>
      <c r="S36" s="59"/>
    </row>
    <row r="37" spans="2:19" ht="13.15" customHeight="1" x14ac:dyDescent="0.2">
      <c r="B37" s="42"/>
      <c r="C37" s="18"/>
      <c r="E37" s="22"/>
      <c r="F37" s="22"/>
      <c r="G37" s="28"/>
      <c r="H37" s="24"/>
      <c r="I37" s="34"/>
      <c r="N37" s="59"/>
      <c r="O37" s="59"/>
      <c r="P37" s="59"/>
      <c r="Q37" s="59"/>
      <c r="R37" s="59"/>
      <c r="S37" s="59"/>
    </row>
    <row r="38" spans="2:19" ht="14.25" x14ac:dyDescent="0.2">
      <c r="B38" s="29" t="s">
        <v>17</v>
      </c>
      <c r="C38" s="13"/>
      <c r="E38" s="57">
        <v>0</v>
      </c>
      <c r="F38" s="22"/>
      <c r="G38" s="23">
        <f>nyk_lukumäärät!E18+nyk_lukumäärät!E19</f>
        <v>0</v>
      </c>
      <c r="H38" s="45"/>
      <c r="I38" s="27" t="e">
        <f>G38/G6*100</f>
        <v>#DIV/0!</v>
      </c>
      <c r="N38" s="59"/>
      <c r="O38" s="59"/>
      <c r="P38" s="59"/>
      <c r="Q38" s="59"/>
      <c r="R38" s="59"/>
      <c r="S38" s="59"/>
    </row>
    <row r="39" spans="2:19" ht="13.15" customHeight="1" x14ac:dyDescent="0.2">
      <c r="B39" s="42"/>
      <c r="C39" s="18"/>
      <c r="E39" s="22"/>
      <c r="F39" s="22"/>
      <c r="G39" s="28"/>
      <c r="H39" s="24"/>
      <c r="I39" s="34"/>
      <c r="N39" s="59"/>
      <c r="O39" s="59"/>
      <c r="P39" s="59"/>
      <c r="Q39" s="59"/>
      <c r="R39" s="59"/>
      <c r="S39" s="59"/>
    </row>
    <row r="40" spans="2:19" ht="13.15" customHeight="1" x14ac:dyDescent="0.2">
      <c r="B40" s="29" t="s">
        <v>18</v>
      </c>
      <c r="C40" s="13">
        <v>500</v>
      </c>
      <c r="E40" s="21">
        <f>0.5*G40</f>
        <v>0</v>
      </c>
      <c r="F40" s="22"/>
      <c r="G40" s="30">
        <f>nyk_lukumäärät!E40</f>
        <v>0</v>
      </c>
      <c r="H40" s="35"/>
      <c r="I40" s="27" t="e">
        <f>G40/G6*100</f>
        <v>#DIV/0!</v>
      </c>
      <c r="N40" s="59"/>
      <c r="O40" s="59"/>
      <c r="P40" s="59"/>
      <c r="Q40" s="59"/>
      <c r="R40" s="59"/>
      <c r="S40" s="59"/>
    </row>
    <row r="41" spans="2:19" ht="13.15" customHeight="1" x14ac:dyDescent="0.2">
      <c r="B41" s="42"/>
      <c r="C41" s="18"/>
      <c r="E41" s="22"/>
      <c r="F41" s="22"/>
      <c r="G41" s="28"/>
      <c r="H41" s="24"/>
      <c r="I41" s="34"/>
      <c r="N41" s="59"/>
      <c r="O41" s="59"/>
      <c r="P41" s="59"/>
      <c r="Q41" s="59"/>
      <c r="R41" s="59"/>
      <c r="S41" s="59"/>
    </row>
    <row r="42" spans="2:19" ht="14.25" x14ac:dyDescent="0.2">
      <c r="B42" s="29" t="s">
        <v>19</v>
      </c>
      <c r="C42" s="13">
        <v>35</v>
      </c>
      <c r="E42" s="21">
        <f>0.042*G42</f>
        <v>0</v>
      </c>
      <c r="F42" s="22"/>
      <c r="G42" s="23">
        <f>nyk_lukumäärät!E56+nyk_lukumäärät!E57+nyk_lukumäärät!E58</f>
        <v>0</v>
      </c>
      <c r="H42" s="45"/>
      <c r="I42" s="34"/>
      <c r="N42" s="59"/>
      <c r="O42" s="59"/>
      <c r="P42" s="59"/>
      <c r="Q42" s="59"/>
      <c r="R42" s="59"/>
      <c r="S42" s="59"/>
    </row>
    <row r="43" spans="2:19" ht="13.15" customHeight="1" x14ac:dyDescent="0.2">
      <c r="B43" s="29"/>
      <c r="C43" s="13">
        <v>45</v>
      </c>
      <c r="E43" s="21">
        <f>0.05*G43</f>
        <v>0</v>
      </c>
      <c r="F43" s="22"/>
      <c r="G43" s="23">
        <f>nyk_lukumäärät!E28</f>
        <v>0</v>
      </c>
      <c r="H43" s="24"/>
      <c r="I43" s="34"/>
      <c r="N43" s="59"/>
      <c r="O43" s="59"/>
      <c r="P43" s="59"/>
      <c r="Q43" s="59"/>
      <c r="R43" s="59"/>
      <c r="S43" s="59"/>
    </row>
    <row r="44" spans="2:19" ht="13.15" customHeight="1" x14ac:dyDescent="0.2">
      <c r="B44" s="29"/>
      <c r="C44" s="13">
        <v>50</v>
      </c>
      <c r="E44" s="21">
        <f>0.06*G44</f>
        <v>0</v>
      </c>
      <c r="F44" s="22"/>
      <c r="G44" s="23">
        <f>nyk_lukumäärät!E65</f>
        <v>0</v>
      </c>
      <c r="H44" s="24"/>
      <c r="I44" s="34"/>
      <c r="N44" s="59"/>
      <c r="O44" s="59"/>
      <c r="P44" s="59"/>
      <c r="Q44" s="59"/>
      <c r="R44" s="59"/>
      <c r="S44" s="59"/>
    </row>
    <row r="45" spans="2:19" ht="13.15" customHeight="1" x14ac:dyDescent="0.2">
      <c r="B45" s="29"/>
      <c r="C45" s="13">
        <v>60</v>
      </c>
      <c r="E45" s="21">
        <f>0.065*G45</f>
        <v>0</v>
      </c>
      <c r="F45" s="22"/>
      <c r="G45" s="23">
        <f>nyk_lukumäärät!E29</f>
        <v>0</v>
      </c>
      <c r="H45" s="24"/>
      <c r="I45" s="34"/>
      <c r="N45" s="59"/>
      <c r="O45" s="59"/>
      <c r="P45" s="59"/>
      <c r="Q45" s="59"/>
      <c r="R45" s="59"/>
      <c r="S45" s="59"/>
    </row>
    <row r="46" spans="2:19" ht="13.15" customHeight="1" x14ac:dyDescent="0.2">
      <c r="B46" s="43"/>
      <c r="C46" s="13">
        <v>70</v>
      </c>
      <c r="E46" s="21">
        <f>0.084*G46</f>
        <v>0</v>
      </c>
      <c r="F46" s="22"/>
      <c r="G46" s="23">
        <f>nyk_lukumäärät!E50+nyk_lukumäärät!E51+nyk_lukumäärät!E52+nyk_lukumäärät!E53+nyk_lukumäärät!E54+nyk_lukumäärät!E55+nyk_lukumäärät!E59</f>
        <v>0</v>
      </c>
      <c r="H46" s="24"/>
      <c r="I46" s="34"/>
      <c r="N46" s="59"/>
      <c r="O46" s="59"/>
      <c r="P46" s="59"/>
      <c r="Q46" s="59"/>
      <c r="R46" s="59"/>
      <c r="S46" s="59"/>
    </row>
    <row r="47" spans="2:19" ht="13.15" customHeight="1" x14ac:dyDescent="0.2">
      <c r="B47" s="43"/>
      <c r="C47" s="13">
        <v>100</v>
      </c>
      <c r="E47" s="21">
        <f>0.116*G47</f>
        <v>0</v>
      </c>
      <c r="F47" s="22"/>
      <c r="G47" s="23">
        <f>nyk_lukumäärät!E60+nyk_lukumäärät!E61+nyk_lukumäärät!E66+nyk_lukumäärät!E67</f>
        <v>0</v>
      </c>
      <c r="H47" s="24"/>
      <c r="I47" s="34"/>
      <c r="N47" s="59"/>
      <c r="O47" s="59"/>
      <c r="P47" s="59"/>
      <c r="Q47" s="59"/>
      <c r="R47" s="59"/>
      <c r="S47" s="59"/>
    </row>
    <row r="48" spans="2:19" ht="13.15" customHeight="1" x14ac:dyDescent="0.2">
      <c r="B48" s="29"/>
      <c r="C48" s="13">
        <v>150</v>
      </c>
      <c r="E48" s="21">
        <f>0.172*G48</f>
        <v>0</v>
      </c>
      <c r="F48" s="22"/>
      <c r="G48" s="23">
        <f>nyk_lukumäärät!E41+nyk_lukumäärät!E44+nyk_lukumäärät!E45+nyk_lukumäärät!E46+nyk_lukumäärät!E47+nyk_lukumäärät!E48+nyk_lukumäärät!E49+nyk_lukumäärät!E62</f>
        <v>0</v>
      </c>
      <c r="H48" s="24"/>
      <c r="I48" s="34"/>
      <c r="L48" s="46"/>
      <c r="N48" s="59"/>
      <c r="O48" s="59"/>
      <c r="P48" s="59"/>
      <c r="Q48" s="59"/>
      <c r="R48" s="59"/>
      <c r="S48" s="59"/>
    </row>
    <row r="49" spans="2:19" ht="13.15" customHeight="1" x14ac:dyDescent="0.2">
      <c r="B49" s="29"/>
      <c r="C49" s="13">
        <v>250</v>
      </c>
      <c r="E49" s="21">
        <f>0.284*G49</f>
        <v>0</v>
      </c>
      <c r="F49" s="22"/>
      <c r="G49" s="23">
        <f>nyk_lukumäärät!E43</f>
        <v>0</v>
      </c>
      <c r="H49" s="24"/>
      <c r="I49" s="34"/>
      <c r="L49" s="46"/>
      <c r="N49" s="59"/>
      <c r="O49" s="59"/>
      <c r="P49" s="59"/>
      <c r="Q49" s="59"/>
      <c r="R49" s="59"/>
      <c r="S49" s="59"/>
    </row>
    <row r="50" spans="2:19" ht="13.15" customHeight="1" x14ac:dyDescent="0.2">
      <c r="B50" s="29"/>
      <c r="C50" s="13">
        <v>400</v>
      </c>
      <c r="E50" s="25">
        <f>0.446*G50</f>
        <v>0</v>
      </c>
      <c r="F50" s="22"/>
      <c r="G50" s="23">
        <f>nyk_lukumäärät!E42</f>
        <v>0</v>
      </c>
      <c r="H50" s="24"/>
      <c r="I50" s="34"/>
      <c r="N50" s="59"/>
      <c r="O50" s="59"/>
      <c r="P50" s="59"/>
      <c r="Q50" s="59"/>
      <c r="R50" s="59"/>
      <c r="S50" s="59"/>
    </row>
    <row r="51" spans="2:19" ht="13.15" customHeight="1" x14ac:dyDescent="0.2">
      <c r="B51" s="42"/>
      <c r="C51" s="18"/>
      <c r="E51" s="21">
        <f>SUM(E42:E50)</f>
        <v>0</v>
      </c>
      <c r="F51" s="22"/>
      <c r="G51" s="32">
        <f>SUM(G42:G50)</f>
        <v>0</v>
      </c>
      <c r="H51" s="24"/>
      <c r="I51" s="27" t="e">
        <f>G51/G6*100</f>
        <v>#DIV/0!</v>
      </c>
      <c r="N51" s="59"/>
      <c r="O51" s="59"/>
      <c r="P51" s="59"/>
      <c r="Q51" s="59"/>
      <c r="R51" s="59"/>
      <c r="S51" s="59"/>
    </row>
    <row r="52" spans="2:19" ht="13.15" customHeight="1" x14ac:dyDescent="0.2">
      <c r="B52" s="42"/>
      <c r="C52" s="18"/>
      <c r="E52" s="22"/>
      <c r="F52" s="22"/>
      <c r="G52" s="28"/>
      <c r="H52" s="24"/>
      <c r="I52" s="34"/>
      <c r="N52" s="59"/>
      <c r="O52" s="59"/>
      <c r="P52" s="59"/>
      <c r="Q52" s="59"/>
      <c r="R52" s="59"/>
      <c r="S52" s="59"/>
    </row>
    <row r="53" spans="2:19" ht="13.15" customHeight="1" x14ac:dyDescent="0.2">
      <c r="B53" s="29" t="s">
        <v>9</v>
      </c>
      <c r="C53" s="13">
        <v>46</v>
      </c>
      <c r="E53" s="21">
        <f>0.05*G53</f>
        <v>0</v>
      </c>
      <c r="F53" s="22"/>
      <c r="G53" s="23">
        <f>nyk_lukumäärät!E68+nyk_lukumäärät!E69</f>
        <v>0</v>
      </c>
      <c r="H53" s="24"/>
      <c r="I53" s="34"/>
      <c r="N53" s="59"/>
      <c r="O53" s="59"/>
      <c r="P53" s="59"/>
      <c r="Q53" s="59"/>
      <c r="R53" s="59"/>
      <c r="S53" s="59"/>
    </row>
    <row r="54" spans="2:19" ht="13.15" customHeight="1" x14ac:dyDescent="0.2">
      <c r="B54" s="29" t="s">
        <v>19</v>
      </c>
      <c r="C54" s="13">
        <v>55</v>
      </c>
      <c r="E54" s="21">
        <f>0.06*G54</f>
        <v>0</v>
      </c>
      <c r="F54" s="22"/>
      <c r="G54" s="23">
        <f>nyk_lukumäärät!E70</f>
        <v>0</v>
      </c>
      <c r="H54" s="24"/>
      <c r="I54" s="34"/>
      <c r="N54" s="59"/>
      <c r="O54" s="59"/>
      <c r="P54" s="59"/>
      <c r="Q54" s="59"/>
      <c r="R54" s="59"/>
      <c r="S54" s="59"/>
    </row>
    <row r="55" spans="2:19" ht="13.15" customHeight="1" x14ac:dyDescent="0.2">
      <c r="B55" s="29"/>
      <c r="C55" s="13">
        <v>72</v>
      </c>
      <c r="E55" s="21">
        <f>0.084*G55</f>
        <v>0</v>
      </c>
      <c r="F55" s="22"/>
      <c r="G55" s="23">
        <f>nyk_lukumäärät!E63+nyk_lukumäärät!E64</f>
        <v>0</v>
      </c>
      <c r="H55" s="24"/>
      <c r="I55" s="34"/>
      <c r="N55" s="59"/>
      <c r="O55" s="59"/>
      <c r="P55" s="59"/>
      <c r="Q55" s="59"/>
      <c r="R55" s="59"/>
      <c r="S55" s="59"/>
    </row>
    <row r="56" spans="2:19" ht="13.15" customHeight="1" x14ac:dyDescent="0.2">
      <c r="B56" s="29"/>
      <c r="C56" s="13">
        <v>85</v>
      </c>
      <c r="E56" s="21">
        <f>0.088*G56</f>
        <v>0</v>
      </c>
      <c r="F56" s="22"/>
      <c r="G56" s="23">
        <f>nyk_lukumäärät!E71</f>
        <v>0</v>
      </c>
      <c r="H56" s="24"/>
      <c r="I56" s="34"/>
      <c r="N56" s="59"/>
      <c r="O56" s="59"/>
      <c r="P56" s="59"/>
      <c r="Q56" s="59"/>
      <c r="R56" s="59"/>
      <c r="S56" s="59"/>
    </row>
    <row r="57" spans="2:19" ht="13.15" customHeight="1" x14ac:dyDescent="0.2">
      <c r="B57" s="29"/>
      <c r="C57" s="13">
        <v>150</v>
      </c>
      <c r="E57" s="21">
        <f>0.165*G57</f>
        <v>0</v>
      </c>
      <c r="F57" s="22"/>
      <c r="G57" s="23">
        <f>nyk_lukumäärät!E73</f>
        <v>0</v>
      </c>
      <c r="H57" s="24"/>
      <c r="I57" s="34"/>
      <c r="N57" s="59"/>
      <c r="O57" s="59"/>
      <c r="P57" s="59"/>
      <c r="Q57" s="59"/>
      <c r="R57" s="59"/>
      <c r="S57" s="59"/>
    </row>
    <row r="58" spans="2:19" ht="13.15" customHeight="1" x14ac:dyDescent="0.2">
      <c r="B58" s="29"/>
      <c r="C58" s="13">
        <v>170</v>
      </c>
      <c r="E58" s="25">
        <f>0.185*G58</f>
        <v>0</v>
      </c>
      <c r="F58" s="22"/>
      <c r="G58" s="23">
        <f>nyk_lukumäärät!E72</f>
        <v>0</v>
      </c>
      <c r="H58" s="24"/>
      <c r="I58" s="34"/>
      <c r="N58" s="59"/>
      <c r="O58" s="59"/>
      <c r="P58" s="59"/>
      <c r="Q58" s="59"/>
      <c r="R58" s="59"/>
      <c r="S58" s="59"/>
    </row>
    <row r="59" spans="2:19" ht="13.15" customHeight="1" x14ac:dyDescent="0.2">
      <c r="E59" s="21">
        <f>SUM(E53:E58)</f>
        <v>0</v>
      </c>
      <c r="F59" s="22"/>
      <c r="G59" s="32">
        <f>SUM(G53:G58)</f>
        <v>0</v>
      </c>
      <c r="H59" s="24"/>
      <c r="I59" s="27" t="e">
        <f>G59/G6*100</f>
        <v>#DIV/0!</v>
      </c>
      <c r="N59" s="59"/>
      <c r="O59" s="59"/>
      <c r="P59" s="59"/>
      <c r="Q59" s="59"/>
      <c r="R59" s="59"/>
      <c r="S59" s="59"/>
    </row>
    <row r="60" spans="2:19" ht="13.15" customHeight="1" x14ac:dyDescent="0.2">
      <c r="E60" s="22"/>
      <c r="F60" s="22"/>
      <c r="I60" s="34"/>
      <c r="N60" s="59"/>
      <c r="O60" s="59"/>
      <c r="P60" s="59"/>
      <c r="Q60" s="59"/>
      <c r="R60" s="59"/>
      <c r="S60" s="59"/>
    </row>
    <row r="61" spans="2:19" ht="13.15" customHeight="1" x14ac:dyDescent="0.2">
      <c r="B61" s="29" t="s">
        <v>20</v>
      </c>
      <c r="C61" s="13">
        <v>55</v>
      </c>
      <c r="E61" s="21">
        <f>0.075*G61</f>
        <v>0</v>
      </c>
      <c r="F61" s="22"/>
      <c r="G61" s="23">
        <f>nyk_lukumäärät!E31</f>
        <v>0</v>
      </c>
      <c r="I61" s="34"/>
      <c r="N61" s="59"/>
      <c r="O61" s="59"/>
      <c r="P61" s="59"/>
      <c r="Q61" s="59"/>
      <c r="R61" s="59"/>
      <c r="S61" s="59"/>
    </row>
    <row r="62" spans="2:19" ht="13.15" customHeight="1" x14ac:dyDescent="0.2">
      <c r="B62" s="29"/>
      <c r="C62" s="13">
        <v>85</v>
      </c>
      <c r="E62" s="25">
        <f>0.105*G62</f>
        <v>0</v>
      </c>
      <c r="F62" s="22"/>
      <c r="G62" s="23">
        <f>nyk_lukumäärät!E30</f>
        <v>0</v>
      </c>
      <c r="I62" s="34"/>
      <c r="N62" s="59"/>
      <c r="O62" s="59"/>
      <c r="P62" s="59"/>
      <c r="Q62" s="59"/>
      <c r="R62" s="59"/>
      <c r="S62" s="59"/>
    </row>
    <row r="63" spans="2:19" ht="13.15" customHeight="1" x14ac:dyDescent="0.2">
      <c r="B63" s="42"/>
      <c r="C63" s="18"/>
      <c r="E63" s="21">
        <f>SUM(E61:E62)</f>
        <v>0</v>
      </c>
      <c r="F63" s="22"/>
      <c r="G63" s="32">
        <f>SUM(G61:G62)</f>
        <v>0</v>
      </c>
      <c r="H63" s="24"/>
      <c r="I63" s="27" t="e">
        <f>G63/G6*100</f>
        <v>#DIV/0!</v>
      </c>
      <c r="N63" s="59"/>
      <c r="O63" s="59"/>
      <c r="P63" s="59"/>
      <c r="Q63" s="59"/>
      <c r="R63" s="59"/>
      <c r="S63" s="59"/>
    </row>
    <row r="64" spans="2:19" ht="13.15" customHeight="1" x14ac:dyDescent="0.2">
      <c r="E64" s="22"/>
      <c r="F64" s="22"/>
      <c r="I64" s="34"/>
      <c r="N64" s="59"/>
      <c r="O64" s="59"/>
      <c r="P64" s="59"/>
      <c r="Q64" s="59"/>
      <c r="R64" s="59"/>
      <c r="S64" s="59"/>
    </row>
    <row r="65" spans="2:19" ht="13.15" customHeight="1" x14ac:dyDescent="0.2">
      <c r="B65" s="37" t="s">
        <v>21</v>
      </c>
      <c r="C65" s="38" t="s">
        <v>22</v>
      </c>
      <c r="E65" s="57">
        <v>0</v>
      </c>
      <c r="F65" s="22"/>
      <c r="G65" s="23">
        <f>nyk_lukumäärät!E20+nyk_lukumäärät!E32+nyk_lukumäärät!E34+nyk_lukumäärät!E35</f>
        <v>0</v>
      </c>
      <c r="I65" s="34"/>
      <c r="N65" s="59"/>
      <c r="O65" s="59"/>
      <c r="P65" s="59"/>
      <c r="Q65" s="59"/>
      <c r="R65" s="59"/>
      <c r="S65" s="59"/>
    </row>
    <row r="66" spans="2:19" ht="13.15" customHeight="1" x14ac:dyDescent="0.2">
      <c r="B66" s="37"/>
      <c r="C66" s="38" t="s">
        <v>23</v>
      </c>
      <c r="E66" s="57">
        <v>0</v>
      </c>
      <c r="F66" s="22"/>
      <c r="G66" s="39">
        <f>nyk_lukumäärät!E33</f>
        <v>0</v>
      </c>
      <c r="I66" s="34"/>
      <c r="N66" s="59"/>
      <c r="O66" s="59"/>
      <c r="P66" s="59"/>
      <c r="Q66" s="59"/>
      <c r="R66" s="59"/>
      <c r="S66" s="59"/>
    </row>
    <row r="67" spans="2:19" ht="13.15" customHeight="1" x14ac:dyDescent="0.2">
      <c r="B67" s="37"/>
      <c r="C67" s="38" t="s">
        <v>24</v>
      </c>
      <c r="E67" s="58">
        <v>0</v>
      </c>
      <c r="F67" s="22"/>
      <c r="G67" s="40">
        <f>nyk_lukumäärät!E39</f>
        <v>0</v>
      </c>
      <c r="I67" s="34"/>
      <c r="N67" s="59"/>
      <c r="O67" s="59"/>
      <c r="P67" s="59"/>
      <c r="Q67" s="59"/>
      <c r="R67" s="59"/>
      <c r="S67" s="59"/>
    </row>
    <row r="68" spans="2:19" ht="13.15" customHeight="1" x14ac:dyDescent="0.2">
      <c r="E68" s="21">
        <f>SUM(E65:E67)</f>
        <v>0</v>
      </c>
      <c r="F68" s="22"/>
      <c r="G68" s="39">
        <f>SUM(G65:G67)</f>
        <v>0</v>
      </c>
      <c r="I68" s="27" t="e">
        <f>G68/G6*100</f>
        <v>#DIV/0!</v>
      </c>
      <c r="N68" s="59"/>
      <c r="O68" s="59"/>
      <c r="P68" s="59"/>
      <c r="Q68" s="59"/>
      <c r="R68" s="59"/>
      <c r="S68" s="59"/>
    </row>
    <row r="69" spans="2:19" x14ac:dyDescent="0.2">
      <c r="E69" s="22"/>
      <c r="F69" s="22"/>
    </row>
    <row r="73" spans="2:19" x14ac:dyDescent="0.2">
      <c r="G73" s="14"/>
    </row>
  </sheetData>
  <sheetProtection sheet="1" selectLockedCells="1"/>
  <mergeCells count="6">
    <mergeCell ref="N23:S68"/>
    <mergeCell ref="B3:I3"/>
    <mergeCell ref="N3:S3"/>
    <mergeCell ref="N6:O6"/>
    <mergeCell ref="B1:S1"/>
    <mergeCell ref="N22:S22"/>
  </mergeCells>
  <phoneticPr fontId="2" type="noConversion"/>
  <pageMargins left="0.35433070866141736" right="0.39370078740157483" top="0.59055118110236227" bottom="0.31496062992125984" header="0.39370078740157483" footer="0.39370078740157483"/>
  <pageSetup paperSize="9" scale="77" orientation="portrait" horizontalDpi="4294967295" r:id="rId1"/>
  <headerFooter alignWithMargins="0">
    <oddFooter>&amp;C_x000D_&amp;1#&amp;"Verdana"&amp;7&amp;K000000 Confidential</oddFooter>
  </headerFooter>
  <customProperties>
    <customPr name="EpmWorksheetKeyString_GU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>
    <tabColor theme="7"/>
  </sheetPr>
  <dimension ref="B1:E74"/>
  <sheetViews>
    <sheetView workbookViewId="0">
      <selection activeCell="E7" sqref="E7"/>
    </sheetView>
  </sheetViews>
  <sheetFormatPr defaultColWidth="2.875" defaultRowHeight="14.25" x14ac:dyDescent="0.2"/>
  <cols>
    <col min="1" max="1" width="2.875" style="47"/>
    <col min="2" max="2" width="8.125" style="47" customWidth="1"/>
    <col min="3" max="3" width="26.875" style="47" bestFit="1" customWidth="1"/>
    <col min="4" max="4" width="2.875" style="47"/>
    <col min="5" max="5" width="8.125" style="47" customWidth="1"/>
    <col min="6" max="16384" width="2.875" style="47"/>
  </cols>
  <sheetData>
    <row r="1" spans="2:5" x14ac:dyDescent="0.2">
      <c r="B1" s="66" t="str">
        <f>tehot!B1</f>
        <v>Suunnitelmanumero/nimi, 6.6.2025</v>
      </c>
      <c r="C1" s="66"/>
      <c r="D1" s="66"/>
      <c r="E1" s="66"/>
    </row>
    <row r="3" spans="2:5" x14ac:dyDescent="0.2">
      <c r="B3" s="65" t="s">
        <v>25</v>
      </c>
      <c r="C3" s="65"/>
      <c r="D3" s="65"/>
      <c r="E3" s="65"/>
    </row>
    <row r="4" spans="2:5" x14ac:dyDescent="0.2">
      <c r="B4" s="48" t="s">
        <v>26</v>
      </c>
      <c r="E4" s="48" t="s">
        <v>3</v>
      </c>
    </row>
    <row r="5" spans="2:5" x14ac:dyDescent="0.2">
      <c r="B5" s="49">
        <v>800</v>
      </c>
      <c r="C5" s="50" t="s">
        <v>27</v>
      </c>
      <c r="D5" s="55"/>
      <c r="E5" s="51"/>
    </row>
    <row r="6" spans="2:5" x14ac:dyDescent="0.2">
      <c r="B6" s="49">
        <v>801</v>
      </c>
      <c r="C6" s="50" t="s">
        <v>28</v>
      </c>
      <c r="D6" s="55"/>
      <c r="E6" s="52"/>
    </row>
    <row r="7" spans="2:5" x14ac:dyDescent="0.2">
      <c r="B7" s="49">
        <v>802</v>
      </c>
      <c r="C7" s="50" t="s">
        <v>29</v>
      </c>
      <c r="D7" s="55"/>
      <c r="E7" s="52"/>
    </row>
    <row r="8" spans="2:5" x14ac:dyDescent="0.2">
      <c r="B8" s="49">
        <v>803</v>
      </c>
      <c r="C8" s="50" t="s">
        <v>30</v>
      </c>
      <c r="D8" s="55"/>
      <c r="E8" s="52"/>
    </row>
    <row r="9" spans="2:5" x14ac:dyDescent="0.2">
      <c r="B9" s="49">
        <v>804</v>
      </c>
      <c r="C9" s="50" t="s">
        <v>31</v>
      </c>
      <c r="D9" s="55"/>
      <c r="E9" s="52"/>
    </row>
    <row r="10" spans="2:5" x14ac:dyDescent="0.2">
      <c r="B10" s="49">
        <v>805</v>
      </c>
      <c r="C10" s="50" t="s">
        <v>32</v>
      </c>
      <c r="D10" s="55"/>
      <c r="E10" s="52"/>
    </row>
    <row r="11" spans="2:5" x14ac:dyDescent="0.2">
      <c r="B11" s="49">
        <v>806</v>
      </c>
      <c r="C11" s="50" t="s">
        <v>33</v>
      </c>
      <c r="D11" s="55"/>
      <c r="E11" s="52"/>
    </row>
    <row r="12" spans="2:5" x14ac:dyDescent="0.2">
      <c r="B12" s="49">
        <v>807</v>
      </c>
      <c r="C12" s="50" t="s">
        <v>34</v>
      </c>
      <c r="D12" s="55"/>
      <c r="E12" s="52"/>
    </row>
    <row r="13" spans="2:5" x14ac:dyDescent="0.2">
      <c r="B13" s="49">
        <v>808</v>
      </c>
      <c r="C13" s="50" t="s">
        <v>35</v>
      </c>
      <c r="D13" s="55"/>
      <c r="E13" s="52"/>
    </row>
    <row r="14" spans="2:5" x14ac:dyDescent="0.2">
      <c r="B14" s="49">
        <v>810</v>
      </c>
      <c r="C14" s="50" t="s">
        <v>36</v>
      </c>
      <c r="D14" s="55"/>
      <c r="E14" s="52"/>
    </row>
    <row r="15" spans="2:5" x14ac:dyDescent="0.2">
      <c r="B15" s="49">
        <v>811</v>
      </c>
      <c r="C15" s="50" t="s">
        <v>37</v>
      </c>
      <c r="D15" s="55"/>
      <c r="E15" s="52"/>
    </row>
    <row r="16" spans="2:5" x14ac:dyDescent="0.2">
      <c r="B16" s="49">
        <v>812</v>
      </c>
      <c r="C16" s="50" t="s">
        <v>38</v>
      </c>
      <c r="D16" s="55"/>
      <c r="E16" s="52"/>
    </row>
    <row r="17" spans="2:5" x14ac:dyDescent="0.2">
      <c r="B17" s="49">
        <v>818</v>
      </c>
      <c r="C17" s="50" t="s">
        <v>39</v>
      </c>
      <c r="D17" s="55"/>
      <c r="E17" s="52"/>
    </row>
    <row r="18" spans="2:5" x14ac:dyDescent="0.2">
      <c r="B18" s="49">
        <v>820</v>
      </c>
      <c r="C18" s="50" t="s">
        <v>40</v>
      </c>
      <c r="D18" s="55"/>
      <c r="E18" s="52"/>
    </row>
    <row r="19" spans="2:5" x14ac:dyDescent="0.2">
      <c r="B19" s="49">
        <v>821</v>
      </c>
      <c r="C19" s="50" t="s">
        <v>41</v>
      </c>
      <c r="D19" s="55"/>
      <c r="E19" s="52"/>
    </row>
    <row r="20" spans="2:5" x14ac:dyDescent="0.2">
      <c r="B20" s="49">
        <v>822</v>
      </c>
      <c r="C20" s="50" t="s">
        <v>42</v>
      </c>
      <c r="D20" s="55"/>
      <c r="E20" s="52"/>
    </row>
    <row r="21" spans="2:5" x14ac:dyDescent="0.2">
      <c r="B21" s="49">
        <v>823</v>
      </c>
      <c r="C21" s="50" t="s">
        <v>43</v>
      </c>
      <c r="D21" s="55"/>
      <c r="E21" s="52"/>
    </row>
    <row r="22" spans="2:5" x14ac:dyDescent="0.2">
      <c r="B22" s="49">
        <v>824</v>
      </c>
      <c r="C22" s="50" t="s">
        <v>44</v>
      </c>
      <c r="D22" s="55"/>
      <c r="E22" s="52"/>
    </row>
    <row r="23" spans="2:5" x14ac:dyDescent="0.2">
      <c r="B23" s="49">
        <v>825</v>
      </c>
      <c r="C23" s="50" t="s">
        <v>45</v>
      </c>
      <c r="D23" s="55"/>
      <c r="E23" s="52"/>
    </row>
    <row r="24" spans="2:5" x14ac:dyDescent="0.2">
      <c r="B24" s="49">
        <v>827</v>
      </c>
      <c r="C24" s="50" t="s">
        <v>46</v>
      </c>
      <c r="D24" s="55"/>
      <c r="E24" s="52"/>
    </row>
    <row r="25" spans="2:5" x14ac:dyDescent="0.2">
      <c r="B25" s="49">
        <v>828</v>
      </c>
      <c r="C25" s="50" t="s">
        <v>47</v>
      </c>
      <c r="D25" s="55"/>
      <c r="E25" s="52"/>
    </row>
    <row r="26" spans="2:5" x14ac:dyDescent="0.2">
      <c r="B26" s="49">
        <v>829</v>
      </c>
      <c r="C26" s="50" t="s">
        <v>48</v>
      </c>
      <c r="D26" s="55"/>
      <c r="E26" s="52"/>
    </row>
    <row r="27" spans="2:5" x14ac:dyDescent="0.2">
      <c r="B27" s="49">
        <v>830</v>
      </c>
      <c r="C27" s="50" t="s">
        <v>49</v>
      </c>
      <c r="D27" s="55"/>
      <c r="E27" s="52"/>
    </row>
    <row r="28" spans="2:5" x14ac:dyDescent="0.2">
      <c r="B28" s="49">
        <v>831</v>
      </c>
      <c r="C28" s="50" t="s">
        <v>50</v>
      </c>
      <c r="D28" s="55"/>
      <c r="E28" s="52"/>
    </row>
    <row r="29" spans="2:5" x14ac:dyDescent="0.2">
      <c r="B29" s="49">
        <v>832</v>
      </c>
      <c r="C29" s="50" t="s">
        <v>51</v>
      </c>
      <c r="D29" s="55"/>
      <c r="E29" s="52"/>
    </row>
    <row r="30" spans="2:5" x14ac:dyDescent="0.2">
      <c r="B30" s="49">
        <v>838</v>
      </c>
      <c r="C30" s="50" t="s">
        <v>52</v>
      </c>
      <c r="D30" s="55"/>
      <c r="E30" s="52"/>
    </row>
    <row r="31" spans="2:5" x14ac:dyDescent="0.2">
      <c r="B31" s="49">
        <v>839</v>
      </c>
      <c r="C31" s="50" t="s">
        <v>53</v>
      </c>
      <c r="D31" s="55"/>
      <c r="E31" s="52"/>
    </row>
    <row r="32" spans="2:5" x14ac:dyDescent="0.2">
      <c r="B32" s="49">
        <v>845</v>
      </c>
      <c r="C32" s="50" t="s">
        <v>54</v>
      </c>
      <c r="D32" s="55"/>
      <c r="E32" s="52"/>
    </row>
    <row r="33" spans="2:5" x14ac:dyDescent="0.2">
      <c r="B33" s="49">
        <v>846</v>
      </c>
      <c r="C33" s="50" t="s">
        <v>55</v>
      </c>
      <c r="D33" s="55"/>
      <c r="E33" s="52"/>
    </row>
    <row r="34" spans="2:5" x14ac:dyDescent="0.2">
      <c r="B34" s="49">
        <v>849</v>
      </c>
      <c r="C34" s="50" t="s">
        <v>56</v>
      </c>
      <c r="D34" s="55"/>
      <c r="E34" s="52"/>
    </row>
    <row r="35" spans="2:5" x14ac:dyDescent="0.2">
      <c r="B35" s="49">
        <v>850</v>
      </c>
      <c r="C35" s="50" t="s">
        <v>57</v>
      </c>
      <c r="D35" s="55"/>
      <c r="E35" s="52"/>
    </row>
    <row r="36" spans="2:5" x14ac:dyDescent="0.2">
      <c r="B36" s="49">
        <v>870</v>
      </c>
      <c r="C36" s="50" t="s">
        <v>58</v>
      </c>
      <c r="D36" s="55"/>
      <c r="E36" s="52"/>
    </row>
    <row r="37" spans="2:5" x14ac:dyDescent="0.2">
      <c r="B37" s="49">
        <v>871</v>
      </c>
      <c r="C37" s="50" t="s">
        <v>59</v>
      </c>
      <c r="D37" s="55"/>
      <c r="E37" s="52"/>
    </row>
    <row r="38" spans="2:5" x14ac:dyDescent="0.2">
      <c r="B38" s="49">
        <v>872</v>
      </c>
      <c r="C38" s="50" t="s">
        <v>60</v>
      </c>
      <c r="D38" s="55"/>
      <c r="E38" s="52"/>
    </row>
    <row r="39" spans="2:5" x14ac:dyDescent="0.2">
      <c r="B39" s="49">
        <v>874</v>
      </c>
      <c r="C39" s="50" t="s">
        <v>61</v>
      </c>
      <c r="D39" s="55"/>
      <c r="E39" s="52"/>
    </row>
    <row r="40" spans="2:5" x14ac:dyDescent="0.2">
      <c r="B40" s="49">
        <v>875</v>
      </c>
      <c r="C40" s="50" t="s">
        <v>62</v>
      </c>
      <c r="D40" s="55"/>
      <c r="E40" s="52"/>
    </row>
    <row r="41" spans="2:5" x14ac:dyDescent="0.2">
      <c r="B41" s="49">
        <v>878</v>
      </c>
      <c r="C41" s="50" t="s">
        <v>63</v>
      </c>
      <c r="D41" s="55"/>
      <c r="E41" s="52"/>
    </row>
    <row r="42" spans="2:5" x14ac:dyDescent="0.2">
      <c r="B42" s="49">
        <v>879</v>
      </c>
      <c r="C42" s="50" t="s">
        <v>64</v>
      </c>
      <c r="D42" s="55"/>
      <c r="E42" s="52"/>
    </row>
    <row r="43" spans="2:5" x14ac:dyDescent="0.2">
      <c r="B43" s="49">
        <v>880</v>
      </c>
      <c r="C43" s="50" t="s">
        <v>65</v>
      </c>
      <c r="D43" s="55"/>
      <c r="E43" s="52"/>
    </row>
    <row r="44" spans="2:5" x14ac:dyDescent="0.2">
      <c r="B44" s="49">
        <v>881</v>
      </c>
      <c r="C44" s="50" t="s">
        <v>66</v>
      </c>
      <c r="D44" s="55"/>
      <c r="E44" s="52"/>
    </row>
    <row r="45" spans="2:5" x14ac:dyDescent="0.2">
      <c r="B45" s="49">
        <v>882</v>
      </c>
      <c r="C45" s="50" t="s">
        <v>67</v>
      </c>
      <c r="D45" s="55"/>
      <c r="E45" s="52"/>
    </row>
    <row r="46" spans="2:5" x14ac:dyDescent="0.2">
      <c r="B46" s="49">
        <v>883</v>
      </c>
      <c r="C46" s="50" t="s">
        <v>68</v>
      </c>
      <c r="D46" s="55"/>
      <c r="E46" s="52"/>
    </row>
    <row r="47" spans="2:5" x14ac:dyDescent="0.2">
      <c r="B47" s="49">
        <v>884</v>
      </c>
      <c r="C47" s="50" t="s">
        <v>69</v>
      </c>
      <c r="D47" s="55"/>
      <c r="E47" s="52"/>
    </row>
    <row r="48" spans="2:5" x14ac:dyDescent="0.2">
      <c r="B48" s="49">
        <v>885</v>
      </c>
      <c r="C48" s="50" t="s">
        <v>70</v>
      </c>
      <c r="D48" s="55"/>
      <c r="E48" s="52"/>
    </row>
    <row r="49" spans="2:5" x14ac:dyDescent="0.2">
      <c r="B49" s="49">
        <v>886</v>
      </c>
      <c r="C49" s="50" t="s">
        <v>71</v>
      </c>
      <c r="D49" s="55"/>
      <c r="E49" s="52"/>
    </row>
    <row r="50" spans="2:5" x14ac:dyDescent="0.2">
      <c r="B50" s="49">
        <v>887</v>
      </c>
      <c r="C50" s="50" t="s">
        <v>72</v>
      </c>
      <c r="D50" s="55"/>
      <c r="E50" s="52"/>
    </row>
    <row r="51" spans="2:5" x14ac:dyDescent="0.2">
      <c r="B51" s="49">
        <v>888</v>
      </c>
      <c r="C51" s="50" t="s">
        <v>73</v>
      </c>
      <c r="D51" s="55"/>
      <c r="E51" s="52"/>
    </row>
    <row r="52" spans="2:5" x14ac:dyDescent="0.2">
      <c r="B52" s="49">
        <v>889</v>
      </c>
      <c r="C52" s="50" t="s">
        <v>74</v>
      </c>
      <c r="D52" s="55"/>
      <c r="E52" s="52"/>
    </row>
    <row r="53" spans="2:5" x14ac:dyDescent="0.2">
      <c r="B53" s="49">
        <v>890</v>
      </c>
      <c r="C53" s="50" t="s">
        <v>75</v>
      </c>
      <c r="D53" s="55"/>
      <c r="E53" s="52"/>
    </row>
    <row r="54" spans="2:5" x14ac:dyDescent="0.2">
      <c r="B54" s="49">
        <v>891</v>
      </c>
      <c r="C54" s="50" t="s">
        <v>76</v>
      </c>
      <c r="D54" s="55"/>
      <c r="E54" s="52"/>
    </row>
    <row r="55" spans="2:5" x14ac:dyDescent="0.2">
      <c r="B55" s="49">
        <v>892</v>
      </c>
      <c r="C55" s="50" t="s">
        <v>77</v>
      </c>
      <c r="D55" s="55"/>
      <c r="E55" s="52"/>
    </row>
    <row r="56" spans="2:5" x14ac:dyDescent="0.2">
      <c r="B56" s="49">
        <v>893</v>
      </c>
      <c r="C56" s="50" t="s">
        <v>78</v>
      </c>
      <c r="D56" s="55"/>
      <c r="E56" s="52"/>
    </row>
    <row r="57" spans="2:5" x14ac:dyDescent="0.2">
      <c r="B57" s="49">
        <v>894</v>
      </c>
      <c r="C57" s="50" t="s">
        <v>79</v>
      </c>
      <c r="D57" s="55"/>
      <c r="E57" s="52"/>
    </row>
    <row r="58" spans="2:5" x14ac:dyDescent="0.2">
      <c r="B58" s="49">
        <v>895</v>
      </c>
      <c r="C58" s="50" t="s">
        <v>80</v>
      </c>
      <c r="D58" s="55"/>
      <c r="E58" s="52"/>
    </row>
    <row r="59" spans="2:5" x14ac:dyDescent="0.2">
      <c r="B59" s="49">
        <v>896</v>
      </c>
      <c r="C59" s="50" t="s">
        <v>81</v>
      </c>
      <c r="D59" s="55"/>
      <c r="E59" s="52"/>
    </row>
    <row r="60" spans="2:5" x14ac:dyDescent="0.2">
      <c r="B60" s="49">
        <v>897</v>
      </c>
      <c r="C60" s="50" t="s">
        <v>82</v>
      </c>
      <c r="D60" s="55"/>
      <c r="E60" s="52"/>
    </row>
    <row r="61" spans="2:5" x14ac:dyDescent="0.2">
      <c r="B61" s="49">
        <v>898</v>
      </c>
      <c r="C61" s="50" t="s">
        <v>83</v>
      </c>
      <c r="D61" s="55"/>
      <c r="E61" s="52"/>
    </row>
    <row r="62" spans="2:5" x14ac:dyDescent="0.2">
      <c r="B62" s="49">
        <v>899</v>
      </c>
      <c r="C62" s="50" t="s">
        <v>84</v>
      </c>
      <c r="D62" s="55"/>
      <c r="E62" s="52"/>
    </row>
    <row r="63" spans="2:5" x14ac:dyDescent="0.2">
      <c r="B63" s="49">
        <v>900</v>
      </c>
      <c r="C63" s="50" t="s">
        <v>85</v>
      </c>
      <c r="D63" s="55"/>
      <c r="E63" s="52"/>
    </row>
    <row r="64" spans="2:5" x14ac:dyDescent="0.2">
      <c r="B64" s="49">
        <v>901</v>
      </c>
      <c r="C64" s="50" t="s">
        <v>86</v>
      </c>
      <c r="D64" s="55"/>
      <c r="E64" s="52"/>
    </row>
    <row r="65" spans="2:5" x14ac:dyDescent="0.2">
      <c r="B65" s="49">
        <v>902</v>
      </c>
      <c r="C65" s="50" t="s">
        <v>87</v>
      </c>
      <c r="D65" s="55"/>
      <c r="E65" s="52"/>
    </row>
    <row r="66" spans="2:5" x14ac:dyDescent="0.2">
      <c r="B66" s="49">
        <v>903</v>
      </c>
      <c r="C66" s="50" t="s">
        <v>88</v>
      </c>
      <c r="D66" s="55"/>
      <c r="E66" s="52"/>
    </row>
    <row r="67" spans="2:5" x14ac:dyDescent="0.2">
      <c r="B67" s="49">
        <v>904</v>
      </c>
      <c r="C67" s="50" t="s">
        <v>89</v>
      </c>
      <c r="D67" s="55"/>
      <c r="E67" s="52"/>
    </row>
    <row r="68" spans="2:5" x14ac:dyDescent="0.2">
      <c r="B68" s="49">
        <v>905</v>
      </c>
      <c r="C68" s="50" t="s">
        <v>90</v>
      </c>
      <c r="D68" s="55"/>
      <c r="E68" s="52"/>
    </row>
    <row r="69" spans="2:5" x14ac:dyDescent="0.2">
      <c r="B69" s="49">
        <v>906</v>
      </c>
      <c r="C69" s="50" t="s">
        <v>91</v>
      </c>
      <c r="D69" s="55"/>
      <c r="E69" s="52"/>
    </row>
    <row r="70" spans="2:5" x14ac:dyDescent="0.2">
      <c r="B70" s="49">
        <v>907</v>
      </c>
      <c r="C70" s="50" t="s">
        <v>92</v>
      </c>
      <c r="D70" s="55"/>
      <c r="E70" s="52"/>
    </row>
    <row r="71" spans="2:5" x14ac:dyDescent="0.2">
      <c r="B71" s="49">
        <v>908</v>
      </c>
      <c r="C71" s="50" t="s">
        <v>93</v>
      </c>
      <c r="D71" s="55"/>
      <c r="E71" s="52"/>
    </row>
    <row r="72" spans="2:5" x14ac:dyDescent="0.2">
      <c r="B72" s="49">
        <v>909</v>
      </c>
      <c r="C72" s="50" t="s">
        <v>94</v>
      </c>
      <c r="D72" s="55"/>
      <c r="E72" s="52"/>
    </row>
    <row r="73" spans="2:5" ht="15" thickBot="1" x14ac:dyDescent="0.25">
      <c r="B73" s="49">
        <v>910</v>
      </c>
      <c r="C73" s="50" t="s">
        <v>95</v>
      </c>
      <c r="D73" s="55"/>
      <c r="E73" s="53"/>
    </row>
    <row r="74" spans="2:5" x14ac:dyDescent="0.2">
      <c r="E74" s="54">
        <f>SUM(E5:E73)</f>
        <v>0</v>
      </c>
    </row>
  </sheetData>
  <sheetProtection sheet="1" selectLockedCells="1"/>
  <mergeCells count="2">
    <mergeCell ref="B3:E3"/>
    <mergeCell ref="B1:E1"/>
  </mergeCells>
  <pageMargins left="0.7" right="0.7" top="0.75" bottom="0.75" header="0.3" footer="0.3"/>
  <pageSetup paperSize="9" orientation="portrait" r:id="rId1"/>
  <headerFooter>
    <oddFooter>&amp;C_x000D_&amp;1#&amp;"Verdana"&amp;7&amp;K000000 Confidential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3117-037B-4F65-9EF5-FCF2D86C0414}">
  <sheetPr>
    <tabColor theme="8"/>
  </sheetPr>
  <dimension ref="B1:N35"/>
  <sheetViews>
    <sheetView workbookViewId="0">
      <selection activeCell="E26" sqref="E26"/>
    </sheetView>
  </sheetViews>
  <sheetFormatPr defaultColWidth="9" defaultRowHeight="14.25" x14ac:dyDescent="0.2"/>
  <cols>
    <col min="1" max="1" width="9" style="1"/>
    <col min="2" max="2" width="10.625" style="1" customWidth="1"/>
    <col min="3" max="3" width="15.25" style="1" customWidth="1"/>
    <col min="4" max="14" width="10.625" style="1" customWidth="1"/>
    <col min="15" max="16384" width="9" style="1"/>
  </cols>
  <sheetData>
    <row r="1" spans="2:14" x14ac:dyDescent="0.2">
      <c r="B1" s="66" t="str">
        <f>tehot!B1</f>
        <v>Suunnitelmanumero/nimi, 6.6.2025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2:14" x14ac:dyDescent="0.2">
      <c r="B3" s="68" t="s">
        <v>96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5" spans="2:14" x14ac:dyDescent="0.2">
      <c r="B5" s="2"/>
      <c r="C5" s="2"/>
      <c r="D5" s="67" t="s">
        <v>97</v>
      </c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14" x14ac:dyDescent="0.2">
      <c r="B6" s="3" t="s">
        <v>98</v>
      </c>
      <c r="C6" s="3" t="s">
        <v>99</v>
      </c>
      <c r="D6" s="4">
        <v>800</v>
      </c>
      <c r="E6" s="4">
        <v>801</v>
      </c>
      <c r="F6" s="4">
        <v>802</v>
      </c>
      <c r="G6" s="4">
        <v>803</v>
      </c>
      <c r="H6" s="4">
        <v>804</v>
      </c>
      <c r="I6" s="4">
        <v>805</v>
      </c>
      <c r="J6" s="4">
        <v>806</v>
      </c>
      <c r="K6" s="4">
        <v>807</v>
      </c>
      <c r="L6" s="4">
        <v>808</v>
      </c>
      <c r="M6" s="4">
        <v>809</v>
      </c>
      <c r="N6" s="4">
        <v>810</v>
      </c>
    </row>
    <row r="7" spans="2:14" ht="15" x14ac:dyDescent="0.2">
      <c r="B7" s="56" t="s">
        <v>100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2:14" ht="15" x14ac:dyDescent="0.2">
      <c r="B8" s="56" t="s">
        <v>101</v>
      </c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2:14" ht="15" x14ac:dyDescent="0.2">
      <c r="B9" s="56" t="s">
        <v>102</v>
      </c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2:14" ht="15" x14ac:dyDescent="0.2">
      <c r="B10" s="56" t="s">
        <v>103</v>
      </c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2:14" ht="15" x14ac:dyDescent="0.2">
      <c r="B11" s="56" t="s">
        <v>104</v>
      </c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14" ht="15" x14ac:dyDescent="0.2">
      <c r="B12" s="56" t="s">
        <v>105</v>
      </c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2:14" ht="15" x14ac:dyDescent="0.2">
      <c r="B13" s="56" t="s">
        <v>106</v>
      </c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2:14" ht="15" x14ac:dyDescent="0.2">
      <c r="B14" s="56" t="s">
        <v>107</v>
      </c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4" ht="15" x14ac:dyDescent="0.2">
      <c r="B15" s="56" t="s">
        <v>108</v>
      </c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2:14" ht="15" x14ac:dyDescent="0.2">
      <c r="B16" s="56" t="s">
        <v>109</v>
      </c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2:14" ht="15" x14ac:dyDescent="0.2">
      <c r="B17" s="56" t="s">
        <v>110</v>
      </c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4" ht="15" x14ac:dyDescent="0.2">
      <c r="B18" s="56" t="s">
        <v>111</v>
      </c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4" ht="15" x14ac:dyDescent="0.2">
      <c r="B19" s="56" t="s">
        <v>112</v>
      </c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4" ht="15" x14ac:dyDescent="0.2">
      <c r="B20" s="56" t="s">
        <v>113</v>
      </c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2:14" ht="15" x14ac:dyDescent="0.2">
      <c r="B21" s="56" t="s">
        <v>114</v>
      </c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2:14" ht="15" x14ac:dyDescent="0.2">
      <c r="B22" s="56" t="s">
        <v>115</v>
      </c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2:14" ht="15" x14ac:dyDescent="0.2">
      <c r="B23" s="56" t="s">
        <v>116</v>
      </c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2:14" ht="15" x14ac:dyDescent="0.2">
      <c r="B24" s="56" t="s">
        <v>117</v>
      </c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14" ht="15" x14ac:dyDescent="0.2">
      <c r="B25" s="56" t="s">
        <v>118</v>
      </c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2:14" ht="15" x14ac:dyDescent="0.2">
      <c r="B26" s="56" t="s">
        <v>119</v>
      </c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2:14" ht="15" x14ac:dyDescent="0.2">
      <c r="B27" s="56" t="s">
        <v>120</v>
      </c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2:14" ht="15" x14ac:dyDescent="0.2">
      <c r="B28" s="56" t="s">
        <v>121</v>
      </c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2:14" ht="15" x14ac:dyDescent="0.2">
      <c r="B29" s="56" t="s">
        <v>122</v>
      </c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2:14" ht="15" x14ac:dyDescent="0.2">
      <c r="B30" s="56" t="s">
        <v>123</v>
      </c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4" ht="15" x14ac:dyDescent="0.2">
      <c r="B31" s="56" t="s">
        <v>124</v>
      </c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2:14" ht="15" x14ac:dyDescent="0.2">
      <c r="B32" s="56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ht="15" x14ac:dyDescent="0.2">
      <c r="B33" s="56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ht="15" x14ac:dyDescent="0.2">
      <c r="B34" s="56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ht="15" x14ac:dyDescent="0.2">
      <c r="B35" s="56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</sheetData>
  <sheetProtection sheet="1" objects="1" scenarios="1" selectLockedCells="1"/>
  <mergeCells count="3">
    <mergeCell ref="D5:N5"/>
    <mergeCell ref="B3:N3"/>
    <mergeCell ref="B1:N1"/>
  </mergeCells>
  <pageMargins left="0.7" right="0.7" top="0.75" bottom="0.75" header="0.3" footer="0.3"/>
  <headerFooter>
    <oddFooter>&amp;C_x000D_&amp;1#&amp;"Verdana"&amp;7&amp;K000000 Confidential</oddFooter>
  </headerFooter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3f6e5-2768-4f92-b067-9e3e4641ca6b" xsi:nil="true"/>
    <lcf76f155ced4ddcb4097134ff3c332f xmlns="8faf783e-4046-4347-8dc4-531a606356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52D030115B62D40AE5136D2A3D278EB" ma:contentTypeVersion="10" ma:contentTypeDescription="Luo uusi asiakirja." ma:contentTypeScope="" ma:versionID="365aec8324bcb20ee1d6a9d7b22e2f5e">
  <xsd:schema xmlns:xsd="http://www.w3.org/2001/XMLSchema" xmlns:xs="http://www.w3.org/2001/XMLSchema" xmlns:p="http://schemas.microsoft.com/office/2006/metadata/properties" xmlns:ns2="8faf783e-4046-4347-8dc4-531a60635658" xmlns:ns3="dbe3f6e5-2768-4f92-b067-9e3e4641ca6b" targetNamespace="http://schemas.microsoft.com/office/2006/metadata/properties" ma:root="true" ma:fieldsID="bca8b8f17a204217c2de62b550b871fc" ns2:_="" ns3:_="">
    <xsd:import namespace="8faf783e-4046-4347-8dc4-531a60635658"/>
    <xsd:import namespace="dbe3f6e5-2768-4f92-b067-9e3e4641c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f783e-4046-4347-8dc4-531a606356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uvien tunnisteet" ma:readOnly="false" ma:fieldId="{5cf76f15-5ced-4ddc-b409-7134ff3c332f}" ma:taxonomyMulti="true" ma:sspId="1b13d2ae-8643-4d9b-9691-30b7950a7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3f6e5-2768-4f92-b067-9e3e4641ca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4cc1b33-114c-4828-8c05-c9e8fca1b1e5}" ma:internalName="TaxCatchAll" ma:showField="CatchAllData" ma:web="dbe3f6e5-2768-4f92-b067-9e3e4641ca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E13FD3-3B07-4519-AF87-228E9E6CA9E2}">
  <ds:schemaRefs>
    <ds:schemaRef ds:uri="http://schemas.microsoft.com/office/2006/metadata/properties"/>
    <ds:schemaRef ds:uri="http://schemas.microsoft.com/office/infopath/2007/PartnerControls"/>
    <ds:schemaRef ds:uri="dbe3f6e5-2768-4f92-b067-9e3e4641ca6b"/>
    <ds:schemaRef ds:uri="8faf783e-4046-4347-8dc4-531a60635658"/>
  </ds:schemaRefs>
</ds:datastoreItem>
</file>

<file path=customXml/itemProps2.xml><?xml version="1.0" encoding="utf-8"?>
<ds:datastoreItem xmlns:ds="http://schemas.openxmlformats.org/officeDocument/2006/customXml" ds:itemID="{3B34C612-7372-4BB4-ACEC-B8275B2D1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6886FB-6A9F-484A-BDAB-6E9C97B9E7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f783e-4046-4347-8dc4-531a60635658"/>
    <ds:schemaRef ds:uri="dbe3f6e5-2768-4f92-b067-9e3e4641c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tehot</vt:lpstr>
      <vt:lpstr>nyk_lukumäärät</vt:lpstr>
      <vt:lpstr>suun_lukumäärät</vt:lpstr>
      <vt:lpstr>tehot!Tulostusalue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Valve Tommi</dc:creator>
  <cp:keywords/>
  <dc:description/>
  <cp:lastModifiedBy>Ekrias Aleksanteri</cp:lastModifiedBy>
  <cp:revision/>
  <dcterms:created xsi:type="dcterms:W3CDTF">1997-10-15T05:33:12Z</dcterms:created>
  <dcterms:modified xsi:type="dcterms:W3CDTF">2025-06-04T09:19:39Z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f35e945f-875f-47b7-87fa-10b3524d17f5_Enabled">
    <vt:lpwstr>true</vt:lpwstr>
  </property>
  <property fmtid="{D5CDD505-2E9C-101B-9397-08002B2CF9AE}" pid="4" name="MSIP_Label_f35e945f-875f-47b7-87fa-10b3524d17f5_SetDate">
    <vt:lpwstr>2023-01-16T12:29:54Z</vt:lpwstr>
  </property>
  <property fmtid="{D5CDD505-2E9C-101B-9397-08002B2CF9AE}" pid="5" name="MSIP_Label_f35e945f-875f-47b7-87fa-10b3524d17f5_Method">
    <vt:lpwstr>Standard</vt:lpwstr>
  </property>
  <property fmtid="{D5CDD505-2E9C-101B-9397-08002B2CF9AE}" pid="6" name="MSIP_Label_f35e945f-875f-47b7-87fa-10b3524d17f5_Name">
    <vt:lpwstr>Julkinen (harkinnanvaraisesti)</vt:lpwstr>
  </property>
  <property fmtid="{D5CDD505-2E9C-101B-9397-08002B2CF9AE}" pid="7" name="MSIP_Label_f35e945f-875f-47b7-87fa-10b3524d17f5_SiteId">
    <vt:lpwstr>3feb6bc1-d722-4726-966c-5b58b64df752</vt:lpwstr>
  </property>
  <property fmtid="{D5CDD505-2E9C-101B-9397-08002B2CF9AE}" pid="8" name="MSIP_Label_f35e945f-875f-47b7-87fa-10b3524d17f5_ActionId">
    <vt:lpwstr>6ec5d4e5-3240-4d82-b25a-c6a0e49ec14d</vt:lpwstr>
  </property>
  <property fmtid="{D5CDD505-2E9C-101B-9397-08002B2CF9AE}" pid="9" name="MSIP_Label_f35e945f-875f-47b7-87fa-10b3524d17f5_ContentBits">
    <vt:lpwstr>0</vt:lpwstr>
  </property>
  <property fmtid="{D5CDD505-2E9C-101B-9397-08002B2CF9AE}" pid="10" name="ContentTypeId">
    <vt:lpwstr>0x010100152D030115B62D40AE5136D2A3D278EB</vt:lpwstr>
  </property>
  <property fmtid="{D5CDD505-2E9C-101B-9397-08002B2CF9AE}" pid="11" name="MediaServiceImageTags">
    <vt:lpwstr/>
  </property>
  <property fmtid="{D5CDD505-2E9C-101B-9397-08002B2CF9AE}" pid="12" name="MSIP_Label_20ea7001-5c24-4702-a3ac-e436ccb02747_Enabled">
    <vt:lpwstr>true</vt:lpwstr>
  </property>
  <property fmtid="{D5CDD505-2E9C-101B-9397-08002B2CF9AE}" pid="13" name="MSIP_Label_20ea7001-5c24-4702-a3ac-e436ccb02747_SetDate">
    <vt:lpwstr>2024-01-04T08:34:16Z</vt:lpwstr>
  </property>
  <property fmtid="{D5CDD505-2E9C-101B-9397-08002B2CF9AE}" pid="14" name="MSIP_Label_20ea7001-5c24-4702-a3ac-e436ccb02747_Method">
    <vt:lpwstr>Standard</vt:lpwstr>
  </property>
  <property fmtid="{D5CDD505-2E9C-101B-9397-08002B2CF9AE}" pid="15" name="MSIP_Label_20ea7001-5c24-4702-a3ac-e436ccb02747_Name">
    <vt:lpwstr>Confidential</vt:lpwstr>
  </property>
  <property fmtid="{D5CDD505-2E9C-101B-9397-08002B2CF9AE}" pid="16" name="MSIP_Label_20ea7001-5c24-4702-a3ac-e436ccb02747_SiteId">
    <vt:lpwstr>c8823c91-be81-4f89-b024-6c3dd789c106</vt:lpwstr>
  </property>
  <property fmtid="{D5CDD505-2E9C-101B-9397-08002B2CF9AE}" pid="17" name="MSIP_Label_20ea7001-5c24-4702-a3ac-e436ccb02747_ActionId">
    <vt:lpwstr>8ed7f849-0587-420a-b1ad-805d7e0e163a</vt:lpwstr>
  </property>
  <property fmtid="{D5CDD505-2E9C-101B-9397-08002B2CF9AE}" pid="18" name="MSIP_Label_20ea7001-5c24-4702-a3ac-e436ccb02747_ContentBits">
    <vt:lpwstr>2</vt:lpwstr>
  </property>
</Properties>
</file>