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3.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virastot\liitteet\kaupunkiymparisto\ilmastoteot\hankkeet\canemure\"/>
    </mc:Choice>
  </mc:AlternateContent>
  <bookViews>
    <workbookView xWindow="0" yWindow="0" windowWidth="23040" windowHeight="8900"/>
  </bookViews>
  <sheets>
    <sheet name="Ohjeet työkalun käyttöön" sheetId="1" r:id="rId1"/>
    <sheet name="Yhteenveto tuloksista, hiilijal" sheetId="2" r:id="rId2"/>
    <sheet name="Lähtötiedot" sheetId="3" r:id="rId3"/>
    <sheet name="Lähtötiedot - kustannukset" sheetId="4" r:id="rId4"/>
    <sheet name="Kotikonemallien lähtötiedot" sheetId="5" r:id="rId5"/>
    <sheet name="Palveluntarjoajien lähtötiedot" sheetId="6" r:id="rId6"/>
    <sheet name="Hiilijalanjälki ja veden kulutu" sheetId="7" r:id="rId7"/>
    <sheet name="Kustannukset" sheetId="8" r:id="rId8"/>
    <sheet name="Päästökertoimet ja niiden laatu" sheetId="9" r:id="rId9"/>
    <sheet name="Yhteenveto raportointiin" sheetId="10" r:id="rId10"/>
    <sheet name="Herkkyystarkastelut" sheetId="11" r:id="rId11"/>
    <sheet name="Alkuelinkaaren ilmastovaikutuks" sheetId="12" r:id="rId12"/>
  </sheets>
  <calcPr calcId="162913"/>
</workbook>
</file>

<file path=xl/calcChain.xml><?xml version="1.0" encoding="utf-8"?>
<calcChain xmlns="http://schemas.openxmlformats.org/spreadsheetml/2006/main">
  <c r="E81" i="12" l="1"/>
  <c r="D81" i="12"/>
  <c r="C81" i="12"/>
  <c r="B81" i="12"/>
  <c r="E79" i="12"/>
  <c r="D79" i="12"/>
  <c r="C79" i="12"/>
  <c r="B79" i="12"/>
  <c r="E78" i="12"/>
  <c r="D78" i="12"/>
  <c r="C78" i="12"/>
  <c r="B78" i="12"/>
  <c r="E77" i="12"/>
  <c r="D77" i="12"/>
  <c r="C77" i="12"/>
  <c r="B77" i="12"/>
  <c r="E75" i="12"/>
  <c r="D75" i="12"/>
  <c r="C75" i="12"/>
  <c r="B75" i="12"/>
  <c r="E73" i="12"/>
  <c r="D73" i="12"/>
  <c r="C73" i="12"/>
  <c r="B73" i="12"/>
  <c r="E72" i="12"/>
  <c r="D72" i="12"/>
  <c r="C72" i="12"/>
  <c r="B72" i="12"/>
  <c r="E71" i="12"/>
  <c r="D71" i="12"/>
  <c r="C71" i="12"/>
  <c r="B71" i="12"/>
  <c r="E70" i="12"/>
  <c r="D70" i="12"/>
  <c r="C70" i="12"/>
  <c r="B70" i="12"/>
  <c r="E69" i="12"/>
  <c r="D69" i="12"/>
  <c r="C69" i="12"/>
  <c r="B69" i="12"/>
  <c r="E64" i="12"/>
  <c r="D64" i="12"/>
  <c r="C64" i="12"/>
  <c r="B64" i="12"/>
  <c r="E63" i="12"/>
  <c r="D63" i="12"/>
  <c r="C63" i="12"/>
  <c r="B63" i="12"/>
  <c r="E62" i="12"/>
  <c r="D62" i="12"/>
  <c r="C62" i="12"/>
  <c r="B62" i="12"/>
  <c r="E61" i="12"/>
  <c r="D61" i="12"/>
  <c r="C61" i="12"/>
  <c r="B61" i="12"/>
  <c r="N57" i="12"/>
  <c r="M57" i="12"/>
  <c r="L57" i="12"/>
  <c r="K57" i="12"/>
  <c r="J57" i="12"/>
  <c r="N56" i="12"/>
  <c r="M56" i="12"/>
  <c r="L56" i="12"/>
  <c r="K56" i="12"/>
  <c r="J56" i="12"/>
  <c r="E56" i="12"/>
  <c r="D56" i="12"/>
  <c r="C56" i="12"/>
  <c r="B56" i="12"/>
  <c r="N55" i="12"/>
  <c r="M55" i="12"/>
  <c r="L55" i="12"/>
  <c r="K55" i="12"/>
  <c r="J55" i="12"/>
  <c r="N54" i="12"/>
  <c r="M54" i="12"/>
  <c r="L54" i="12"/>
  <c r="K54" i="12"/>
  <c r="J54" i="12"/>
  <c r="F48" i="12"/>
  <c r="E48" i="12"/>
  <c r="D48" i="12"/>
  <c r="C48" i="12"/>
  <c r="B48" i="12"/>
  <c r="F46" i="12"/>
  <c r="E46" i="12"/>
  <c r="D46" i="12"/>
  <c r="C46" i="12"/>
  <c r="B46" i="12"/>
  <c r="F45" i="12"/>
  <c r="E45" i="12"/>
  <c r="D45" i="12"/>
  <c r="C45" i="12"/>
  <c r="B45" i="12"/>
  <c r="F44" i="12"/>
  <c r="E44" i="12"/>
  <c r="D44" i="12"/>
  <c r="C44" i="12"/>
  <c r="B44" i="12"/>
  <c r="F42" i="12"/>
  <c r="E42" i="12"/>
  <c r="D42" i="12"/>
  <c r="C42" i="12"/>
  <c r="B42" i="12"/>
  <c r="F40" i="12"/>
  <c r="E40" i="12"/>
  <c r="D40" i="12"/>
  <c r="C40" i="12"/>
  <c r="B40" i="12"/>
  <c r="F39" i="12"/>
  <c r="E39" i="12"/>
  <c r="D39" i="12"/>
  <c r="C39" i="12"/>
  <c r="B39" i="12"/>
  <c r="F37" i="12"/>
  <c r="E37" i="12"/>
  <c r="D37" i="12"/>
  <c r="C37" i="12"/>
  <c r="B37" i="12"/>
  <c r="F35" i="12"/>
  <c r="E35" i="12"/>
  <c r="D35" i="12"/>
  <c r="C35" i="12"/>
  <c r="B35" i="12"/>
  <c r="F34" i="12"/>
  <c r="E34" i="12"/>
  <c r="D34" i="12"/>
  <c r="C34" i="12"/>
  <c r="B34" i="12"/>
  <c r="O32" i="12"/>
  <c r="N32" i="12"/>
  <c r="M32" i="12"/>
  <c r="L32" i="12"/>
  <c r="K32" i="12"/>
  <c r="J32" i="12"/>
  <c r="O31" i="12"/>
  <c r="N31" i="12"/>
  <c r="M31" i="12"/>
  <c r="L31" i="12"/>
  <c r="K31" i="12"/>
  <c r="J31" i="12"/>
  <c r="F31" i="12"/>
  <c r="E31" i="12"/>
  <c r="D31" i="12"/>
  <c r="C31" i="12"/>
  <c r="B31" i="12"/>
  <c r="O30" i="12"/>
  <c r="N30" i="12"/>
  <c r="M30" i="12"/>
  <c r="L30" i="12"/>
  <c r="K30" i="12"/>
  <c r="J30" i="12"/>
  <c r="O29" i="12"/>
  <c r="N29" i="12"/>
  <c r="M29" i="12"/>
  <c r="L29" i="12"/>
  <c r="K29" i="12"/>
  <c r="J29" i="12"/>
  <c r="C22" i="12"/>
  <c r="B22" i="12"/>
  <c r="C20" i="12"/>
  <c r="B20" i="12"/>
  <c r="C19" i="12"/>
  <c r="B19" i="12"/>
  <c r="C18" i="12"/>
  <c r="B18" i="12"/>
  <c r="C16" i="12"/>
  <c r="B16" i="12"/>
  <c r="C14" i="12"/>
  <c r="B14" i="12"/>
  <c r="C13" i="12"/>
  <c r="B13" i="12"/>
  <c r="C11" i="12"/>
  <c r="B11" i="12"/>
  <c r="C9" i="12"/>
  <c r="B9" i="12"/>
  <c r="C8" i="12"/>
  <c r="B8" i="12"/>
  <c r="L6" i="12"/>
  <c r="K6" i="12"/>
  <c r="J6" i="12"/>
  <c r="L5" i="12"/>
  <c r="K5" i="12"/>
  <c r="J5" i="12"/>
  <c r="C5" i="12"/>
  <c r="B5" i="12"/>
  <c r="L4" i="12"/>
  <c r="K4" i="12"/>
  <c r="J4" i="12"/>
  <c r="L3" i="12"/>
  <c r="K3" i="12"/>
  <c r="J3" i="12"/>
  <c r="B16" i="11"/>
  <c r="A16" i="11"/>
  <c r="A15" i="11"/>
  <c r="B14" i="11"/>
  <c r="A14" i="11"/>
  <c r="B10" i="11"/>
  <c r="A10" i="11"/>
  <c r="A9" i="11"/>
  <c r="D8" i="11"/>
  <c r="B8" i="11"/>
  <c r="A8" i="11"/>
  <c r="L54" i="10"/>
  <c r="K54" i="10"/>
  <c r="I54" i="10"/>
  <c r="H54" i="10"/>
  <c r="A54" i="10"/>
  <c r="K53" i="10"/>
  <c r="J53" i="10"/>
  <c r="I53" i="10"/>
  <c r="H53" i="10"/>
  <c r="C53" i="10"/>
  <c r="B53" i="10"/>
  <c r="A53" i="10"/>
  <c r="J52" i="10"/>
  <c r="I52" i="10"/>
  <c r="H52" i="10"/>
  <c r="A52" i="10"/>
  <c r="I51" i="10"/>
  <c r="H51" i="10"/>
  <c r="A51" i="10"/>
  <c r="A50" i="10"/>
  <c r="I49" i="10"/>
  <c r="H49" i="10"/>
  <c r="A49" i="10"/>
  <c r="I48" i="10"/>
  <c r="H48" i="10"/>
  <c r="G48" i="10"/>
  <c r="A48" i="10"/>
  <c r="I47" i="10"/>
  <c r="H47" i="10"/>
  <c r="F47" i="10"/>
  <c r="A47" i="10"/>
  <c r="M46" i="10"/>
  <c r="I46" i="10"/>
  <c r="H46" i="10"/>
  <c r="E46" i="10"/>
  <c r="A46" i="10"/>
  <c r="I45" i="10"/>
  <c r="H45" i="10"/>
  <c r="D45" i="10"/>
  <c r="A45" i="10"/>
  <c r="A44" i="10"/>
  <c r="I43" i="10"/>
  <c r="H43" i="10"/>
  <c r="A43" i="10"/>
  <c r="I42" i="10"/>
  <c r="H42" i="10"/>
  <c r="A42" i="10"/>
  <c r="M41" i="10"/>
  <c r="L41" i="10"/>
  <c r="K41" i="10"/>
  <c r="J41" i="10"/>
  <c r="I41" i="10"/>
  <c r="H41" i="10"/>
  <c r="G41" i="10"/>
  <c r="F41" i="10"/>
  <c r="E41" i="10"/>
  <c r="D41" i="10"/>
  <c r="C41" i="10"/>
  <c r="B41" i="10"/>
  <c r="A41" i="10"/>
  <c r="F39" i="10"/>
  <c r="E39" i="10"/>
  <c r="A39" i="10"/>
  <c r="F38" i="10"/>
  <c r="E38" i="10"/>
  <c r="A38" i="10"/>
  <c r="F37" i="10"/>
  <c r="E37" i="10"/>
  <c r="A37" i="10"/>
  <c r="F36" i="10"/>
  <c r="E36" i="10"/>
  <c r="A36" i="10"/>
  <c r="A35" i="10"/>
  <c r="C33" i="10"/>
  <c r="B33" i="10"/>
  <c r="A33" i="10"/>
  <c r="C32" i="10"/>
  <c r="B32" i="10"/>
  <c r="A32" i="10"/>
  <c r="C31" i="10"/>
  <c r="B31" i="10"/>
  <c r="A31" i="10"/>
  <c r="C30" i="10"/>
  <c r="B30" i="10"/>
  <c r="A30" i="10"/>
  <c r="A29" i="10"/>
  <c r="F27" i="10"/>
  <c r="E27" i="10"/>
  <c r="A27" i="10"/>
  <c r="F26" i="10"/>
  <c r="E26" i="10"/>
  <c r="A26" i="10"/>
  <c r="F25" i="10"/>
  <c r="E25" i="10"/>
  <c r="A25" i="10"/>
  <c r="F24" i="10"/>
  <c r="E24" i="10"/>
  <c r="A24" i="10"/>
  <c r="F23" i="10"/>
  <c r="E23" i="10"/>
  <c r="A23" i="10"/>
  <c r="A22" i="10"/>
  <c r="K20" i="10"/>
  <c r="J20" i="10"/>
  <c r="F20" i="10"/>
  <c r="E20" i="10"/>
  <c r="D20" i="10"/>
  <c r="C20" i="10"/>
  <c r="B20" i="10"/>
  <c r="A20" i="10"/>
  <c r="K19" i="10"/>
  <c r="J19" i="10"/>
  <c r="F19" i="10"/>
  <c r="E19" i="10"/>
  <c r="D19" i="10"/>
  <c r="C19" i="10"/>
  <c r="B19" i="10"/>
  <c r="A19" i="10"/>
  <c r="K18" i="10"/>
  <c r="J18" i="10"/>
  <c r="F18" i="10"/>
  <c r="E18" i="10"/>
  <c r="D18" i="10"/>
  <c r="C18" i="10"/>
  <c r="B18" i="10"/>
  <c r="A18" i="10"/>
  <c r="K17" i="10"/>
  <c r="J17" i="10"/>
  <c r="F17" i="10"/>
  <c r="E17" i="10"/>
  <c r="D17" i="10"/>
  <c r="C17" i="10"/>
  <c r="B17" i="10"/>
  <c r="A17" i="10"/>
  <c r="K16" i="10"/>
  <c r="J16" i="10"/>
  <c r="F16" i="10"/>
  <c r="E16" i="10"/>
  <c r="D16" i="10"/>
  <c r="C16" i="10"/>
  <c r="B16" i="10"/>
  <c r="A16" i="10"/>
  <c r="A15" i="10"/>
  <c r="F13" i="10"/>
  <c r="E13" i="10"/>
  <c r="A13" i="10"/>
  <c r="F12" i="10"/>
  <c r="E12" i="10"/>
  <c r="A12" i="10"/>
  <c r="A11" i="10"/>
  <c r="F8" i="10"/>
  <c r="E8" i="10"/>
  <c r="D8" i="10"/>
  <c r="C8" i="10"/>
  <c r="B8" i="10"/>
  <c r="A8" i="10"/>
  <c r="F7" i="10"/>
  <c r="E7" i="10"/>
  <c r="D7" i="10"/>
  <c r="C7" i="10"/>
  <c r="B7" i="10"/>
  <c r="A7" i="10"/>
  <c r="A6" i="10"/>
  <c r="B28" i="9"/>
  <c r="B20" i="9"/>
  <c r="B16" i="9"/>
  <c r="B15" i="9"/>
  <c r="B14" i="9"/>
  <c r="B13" i="9"/>
  <c r="B12" i="9"/>
  <c r="B11" i="9"/>
  <c r="N197" i="8"/>
  <c r="E197" i="8"/>
  <c r="D197" i="8"/>
  <c r="C197" i="8"/>
  <c r="B197" i="8"/>
  <c r="A197" i="8"/>
  <c r="N196" i="8"/>
  <c r="E196" i="8"/>
  <c r="D196" i="8"/>
  <c r="C196" i="8"/>
  <c r="B196" i="8"/>
  <c r="A196" i="8"/>
  <c r="N195" i="8"/>
  <c r="E195" i="8"/>
  <c r="D195" i="8"/>
  <c r="C195" i="8"/>
  <c r="B195" i="8"/>
  <c r="A195" i="8"/>
  <c r="T194" i="8"/>
  <c r="S194" i="8"/>
  <c r="N194" i="8"/>
  <c r="S193" i="8"/>
  <c r="Q193" i="8"/>
  <c r="O193" i="8"/>
  <c r="D193" i="8"/>
  <c r="C193" i="8"/>
  <c r="A193" i="8"/>
  <c r="N191" i="8"/>
  <c r="E191" i="8"/>
  <c r="D191" i="8"/>
  <c r="C191" i="8"/>
  <c r="B191" i="8"/>
  <c r="A191" i="8"/>
  <c r="N190" i="8"/>
  <c r="E190" i="8"/>
  <c r="D190" i="8"/>
  <c r="C190" i="8"/>
  <c r="B190" i="8"/>
  <c r="A190" i="8"/>
  <c r="N189" i="8"/>
  <c r="E189" i="8"/>
  <c r="D189" i="8"/>
  <c r="C189" i="8"/>
  <c r="B189" i="8"/>
  <c r="A189" i="8"/>
  <c r="T188" i="8"/>
  <c r="S188" i="8"/>
  <c r="N188" i="8"/>
  <c r="S187" i="8"/>
  <c r="Q187" i="8"/>
  <c r="O187" i="8"/>
  <c r="D187" i="8"/>
  <c r="C187" i="8"/>
  <c r="A187" i="8"/>
  <c r="N185" i="8"/>
  <c r="E185" i="8"/>
  <c r="D185" i="8"/>
  <c r="C185" i="8"/>
  <c r="B185" i="8"/>
  <c r="A185" i="8"/>
  <c r="N184" i="8"/>
  <c r="E184" i="8"/>
  <c r="D184" i="8"/>
  <c r="C184" i="8"/>
  <c r="B184" i="8"/>
  <c r="A184" i="8"/>
  <c r="N183" i="8"/>
  <c r="E183" i="8"/>
  <c r="D183" i="8"/>
  <c r="C183" i="8"/>
  <c r="B183" i="8"/>
  <c r="A183" i="8"/>
  <c r="T182" i="8"/>
  <c r="S182" i="8"/>
  <c r="N182" i="8"/>
  <c r="S181" i="8"/>
  <c r="Q181" i="8"/>
  <c r="O181" i="8"/>
  <c r="D181" i="8"/>
  <c r="C181" i="8"/>
  <c r="A181" i="8"/>
  <c r="N179" i="8"/>
  <c r="E179" i="8"/>
  <c r="D179" i="8"/>
  <c r="C179" i="8"/>
  <c r="B179" i="8"/>
  <c r="A179" i="8"/>
  <c r="N178" i="8"/>
  <c r="E178" i="8"/>
  <c r="D178" i="8"/>
  <c r="C178" i="8"/>
  <c r="B178" i="8"/>
  <c r="A178" i="8"/>
  <c r="N177" i="8"/>
  <c r="E177" i="8"/>
  <c r="D177" i="8"/>
  <c r="C177" i="8"/>
  <c r="B177" i="8"/>
  <c r="O177" i="8" s="1"/>
  <c r="T177" i="8" s="1"/>
  <c r="A177" i="8"/>
  <c r="T176" i="8"/>
  <c r="S176" i="8"/>
  <c r="N176" i="8"/>
  <c r="S175" i="8"/>
  <c r="Q175" i="8"/>
  <c r="O175" i="8"/>
  <c r="D175" i="8"/>
  <c r="C175" i="8"/>
  <c r="A175" i="8"/>
  <c r="A174" i="8"/>
  <c r="O171" i="8"/>
  <c r="T171" i="8" s="1"/>
  <c r="N171" i="8"/>
  <c r="L171" i="8"/>
  <c r="B171" i="8"/>
  <c r="N170" i="8"/>
  <c r="M170" i="8"/>
  <c r="L170" i="8"/>
  <c r="I170" i="8"/>
  <c r="H170" i="8"/>
  <c r="G170" i="8"/>
  <c r="F170" i="8"/>
  <c r="E170" i="8"/>
  <c r="D170" i="8"/>
  <c r="C170" i="8"/>
  <c r="B170" i="8"/>
  <c r="O170" i="8" s="1"/>
  <c r="N169" i="8"/>
  <c r="N54" i="10" s="1"/>
  <c r="M169" i="8"/>
  <c r="M54" i="10" s="1"/>
  <c r="L169" i="8"/>
  <c r="K169" i="8"/>
  <c r="J169" i="8"/>
  <c r="J54" i="10" s="1"/>
  <c r="G169" i="8"/>
  <c r="G54" i="10" s="1"/>
  <c r="F169" i="8"/>
  <c r="F54" i="10" s="1"/>
  <c r="E169" i="8"/>
  <c r="E54" i="10" s="1"/>
  <c r="D169" i="8"/>
  <c r="D54" i="10" s="1"/>
  <c r="C169" i="8"/>
  <c r="O169" i="8" s="1"/>
  <c r="B169" i="8"/>
  <c r="B54" i="10" s="1"/>
  <c r="Z168" i="8"/>
  <c r="Y168" i="8"/>
  <c r="X168" i="8"/>
  <c r="V168" i="8"/>
  <c r="T168" i="8"/>
  <c r="S168" i="8"/>
  <c r="R168" i="8"/>
  <c r="P168" i="8"/>
  <c r="N168" i="8"/>
  <c r="Y167" i="8"/>
  <c r="W167" i="8"/>
  <c r="U167" i="8"/>
  <c r="S167" i="8"/>
  <c r="Q167" i="8"/>
  <c r="O167" i="8"/>
  <c r="D167" i="8"/>
  <c r="C167" i="8"/>
  <c r="A167" i="8"/>
  <c r="U165" i="8"/>
  <c r="Z165" i="8" s="1"/>
  <c r="N165" i="8"/>
  <c r="L165" i="8"/>
  <c r="B165" i="8"/>
  <c r="O165" i="8" s="1"/>
  <c r="N164" i="8"/>
  <c r="M164" i="8"/>
  <c r="L164" i="8"/>
  <c r="I164" i="8"/>
  <c r="H164" i="8"/>
  <c r="G164" i="8"/>
  <c r="F164" i="8"/>
  <c r="E164" i="8"/>
  <c r="D164" i="8"/>
  <c r="C164" i="8"/>
  <c r="O164" i="8" s="1"/>
  <c r="B164" i="8"/>
  <c r="N163" i="8"/>
  <c r="N53" i="10" s="1"/>
  <c r="M163" i="8"/>
  <c r="M53" i="10" s="1"/>
  <c r="L163" i="8"/>
  <c r="L53" i="10" s="1"/>
  <c r="K163" i="8"/>
  <c r="J163" i="8"/>
  <c r="G163" i="8"/>
  <c r="G53" i="10" s="1"/>
  <c r="F163" i="8"/>
  <c r="F53" i="10" s="1"/>
  <c r="E163" i="8"/>
  <c r="E53" i="10" s="1"/>
  <c r="D163" i="8"/>
  <c r="D53" i="10" s="1"/>
  <c r="C163" i="8"/>
  <c r="B163" i="8"/>
  <c r="Z162" i="8"/>
  <c r="Y162" i="8"/>
  <c r="X162" i="8"/>
  <c r="V162" i="8"/>
  <c r="T162" i="8"/>
  <c r="S162" i="8"/>
  <c r="R162" i="8"/>
  <c r="P162" i="8"/>
  <c r="N162" i="8"/>
  <c r="Y161" i="8"/>
  <c r="W161" i="8"/>
  <c r="U161" i="8"/>
  <c r="S161" i="8"/>
  <c r="Q161" i="8"/>
  <c r="O161" i="8"/>
  <c r="D161" i="8"/>
  <c r="C161" i="8"/>
  <c r="A161" i="8"/>
  <c r="N159" i="8"/>
  <c r="L159" i="8"/>
  <c r="O159" i="8" s="1"/>
  <c r="B159" i="8"/>
  <c r="U159" i="8" s="1"/>
  <c r="N158" i="8"/>
  <c r="M158" i="8"/>
  <c r="L158" i="8"/>
  <c r="I158" i="8"/>
  <c r="H158" i="8"/>
  <c r="G158" i="8"/>
  <c r="F158" i="8"/>
  <c r="E158" i="8"/>
  <c r="D158" i="8"/>
  <c r="C158" i="8"/>
  <c r="B158" i="8"/>
  <c r="N157" i="8"/>
  <c r="N52" i="10" s="1"/>
  <c r="M157" i="8"/>
  <c r="M52" i="10" s="1"/>
  <c r="L157" i="8"/>
  <c r="L52" i="10" s="1"/>
  <c r="K157" i="8"/>
  <c r="K52" i="10" s="1"/>
  <c r="J157" i="8"/>
  <c r="G157" i="8"/>
  <c r="G52" i="10" s="1"/>
  <c r="F157" i="8"/>
  <c r="F52" i="10" s="1"/>
  <c r="E157" i="8"/>
  <c r="E52" i="10" s="1"/>
  <c r="D157" i="8"/>
  <c r="D52" i="10" s="1"/>
  <c r="C157" i="8"/>
  <c r="C52" i="10" s="1"/>
  <c r="B157" i="8"/>
  <c r="Z156" i="8"/>
  <c r="Y156" i="8"/>
  <c r="X156" i="8"/>
  <c r="V156" i="8"/>
  <c r="T156" i="8"/>
  <c r="S156" i="8"/>
  <c r="R156" i="8"/>
  <c r="P156" i="8"/>
  <c r="N156" i="8"/>
  <c r="Y155" i="8"/>
  <c r="W155" i="8"/>
  <c r="U155" i="8"/>
  <c r="S155" i="8"/>
  <c r="Q155" i="8"/>
  <c r="O155" i="8"/>
  <c r="D155" i="8"/>
  <c r="C155" i="8"/>
  <c r="A155" i="8"/>
  <c r="N153" i="8"/>
  <c r="L153" i="8"/>
  <c r="B153" i="8"/>
  <c r="N152" i="8"/>
  <c r="M152" i="8"/>
  <c r="L152" i="8"/>
  <c r="I152" i="8"/>
  <c r="H152" i="8"/>
  <c r="G152" i="8"/>
  <c r="F152" i="8"/>
  <c r="E152" i="8"/>
  <c r="D152" i="8"/>
  <c r="C152" i="8"/>
  <c r="B152" i="8"/>
  <c r="N151" i="8"/>
  <c r="N51" i="10" s="1"/>
  <c r="M151" i="8"/>
  <c r="M51" i="10" s="1"/>
  <c r="L151" i="8"/>
  <c r="L51" i="10" s="1"/>
  <c r="K151" i="8"/>
  <c r="K51" i="10" s="1"/>
  <c r="J151" i="8"/>
  <c r="J51" i="10" s="1"/>
  <c r="G151" i="8"/>
  <c r="G51" i="10" s="1"/>
  <c r="F151" i="8"/>
  <c r="F51" i="10" s="1"/>
  <c r="E151" i="8"/>
  <c r="E51" i="10" s="1"/>
  <c r="D151" i="8"/>
  <c r="D51" i="10" s="1"/>
  <c r="C151" i="8"/>
  <c r="C51" i="10" s="1"/>
  <c r="B151" i="8"/>
  <c r="B51" i="10" s="1"/>
  <c r="Z150" i="8"/>
  <c r="Y150" i="8"/>
  <c r="X150" i="8"/>
  <c r="V150" i="8"/>
  <c r="T150" i="8"/>
  <c r="S150" i="8"/>
  <c r="R150" i="8"/>
  <c r="P150" i="8"/>
  <c r="N150" i="8"/>
  <c r="Y149" i="8"/>
  <c r="W149" i="8"/>
  <c r="U149" i="8"/>
  <c r="S149" i="8"/>
  <c r="Q149" i="8"/>
  <c r="O149" i="8"/>
  <c r="D149" i="8"/>
  <c r="C149" i="8"/>
  <c r="A149" i="8"/>
  <c r="U146" i="8"/>
  <c r="O146" i="8"/>
  <c r="A145" i="8"/>
  <c r="N142" i="8"/>
  <c r="E142" i="8"/>
  <c r="D142" i="8"/>
  <c r="C142" i="8"/>
  <c r="B142" i="8"/>
  <c r="A142" i="8"/>
  <c r="N141" i="8"/>
  <c r="E141" i="8"/>
  <c r="D141" i="8"/>
  <c r="C141" i="8"/>
  <c r="B141" i="8"/>
  <c r="A141" i="8"/>
  <c r="N140" i="8"/>
  <c r="E140" i="8"/>
  <c r="D140" i="8"/>
  <c r="C140" i="8"/>
  <c r="B140" i="8"/>
  <c r="A140" i="8"/>
  <c r="T139" i="8"/>
  <c r="S139" i="8"/>
  <c r="N139" i="8"/>
  <c r="S138" i="8"/>
  <c r="Q138" i="8"/>
  <c r="O138" i="8"/>
  <c r="D138" i="8"/>
  <c r="C138" i="8"/>
  <c r="A138" i="8"/>
  <c r="N136" i="8"/>
  <c r="E136" i="8"/>
  <c r="D136" i="8"/>
  <c r="C136" i="8"/>
  <c r="B136" i="8"/>
  <c r="O136" i="8" s="1"/>
  <c r="A136" i="8"/>
  <c r="N135" i="8"/>
  <c r="E135" i="8"/>
  <c r="D135" i="8"/>
  <c r="C135" i="8"/>
  <c r="B135" i="8"/>
  <c r="A135" i="8"/>
  <c r="N134" i="8"/>
  <c r="E134" i="8"/>
  <c r="D134" i="8"/>
  <c r="C134" i="8"/>
  <c r="B134" i="8"/>
  <c r="A134" i="8"/>
  <c r="T133" i="8"/>
  <c r="S133" i="8"/>
  <c r="N133" i="8"/>
  <c r="S132" i="8"/>
  <c r="Q132" i="8"/>
  <c r="O132" i="8"/>
  <c r="D132" i="8"/>
  <c r="C132" i="8"/>
  <c r="A132" i="8"/>
  <c r="N130" i="8"/>
  <c r="E130" i="8"/>
  <c r="O130" i="8" s="1"/>
  <c r="T130" i="8" s="1"/>
  <c r="D130" i="8"/>
  <c r="C130" i="8"/>
  <c r="B130" i="8"/>
  <c r="A130" i="8"/>
  <c r="N129" i="8"/>
  <c r="E129" i="8"/>
  <c r="D129" i="8"/>
  <c r="C129" i="8"/>
  <c r="B129" i="8"/>
  <c r="A129" i="8"/>
  <c r="N128" i="8"/>
  <c r="E128" i="8"/>
  <c r="D128" i="8"/>
  <c r="C128" i="8"/>
  <c r="B128" i="8"/>
  <c r="A128" i="8"/>
  <c r="T127" i="8"/>
  <c r="S127" i="8"/>
  <c r="N127" i="8"/>
  <c r="S126" i="8"/>
  <c r="Q126" i="8"/>
  <c r="O126" i="8"/>
  <c r="D126" i="8"/>
  <c r="C126" i="8"/>
  <c r="A126" i="8"/>
  <c r="N124" i="8"/>
  <c r="E124" i="8"/>
  <c r="D124" i="8"/>
  <c r="C124" i="8"/>
  <c r="B124" i="8"/>
  <c r="O124" i="8" s="1"/>
  <c r="T124" i="8" s="1"/>
  <c r="A124" i="8"/>
  <c r="N123" i="8"/>
  <c r="E123" i="8"/>
  <c r="D123" i="8"/>
  <c r="C123" i="8"/>
  <c r="B123" i="8"/>
  <c r="A123" i="8"/>
  <c r="N122" i="8"/>
  <c r="E122" i="8"/>
  <c r="D122" i="8"/>
  <c r="C122" i="8"/>
  <c r="B122" i="8"/>
  <c r="A122" i="8"/>
  <c r="T121" i="8"/>
  <c r="S121" i="8"/>
  <c r="N121" i="8"/>
  <c r="S120" i="8"/>
  <c r="Q120" i="8"/>
  <c r="O120" i="8"/>
  <c r="D120" i="8"/>
  <c r="C120" i="8"/>
  <c r="A120" i="8"/>
  <c r="N118" i="8"/>
  <c r="E118" i="8"/>
  <c r="D118" i="8"/>
  <c r="C118" i="8"/>
  <c r="B118" i="8"/>
  <c r="A118" i="8"/>
  <c r="N117" i="8"/>
  <c r="E117" i="8"/>
  <c r="D117" i="8"/>
  <c r="C117" i="8"/>
  <c r="B117" i="8"/>
  <c r="A117" i="8"/>
  <c r="N116" i="8"/>
  <c r="E116" i="8"/>
  <c r="D116" i="8"/>
  <c r="C116" i="8"/>
  <c r="B116" i="8"/>
  <c r="A116" i="8"/>
  <c r="T115" i="8"/>
  <c r="S115" i="8"/>
  <c r="N115" i="8"/>
  <c r="S114" i="8"/>
  <c r="Q114" i="8"/>
  <c r="O114" i="8"/>
  <c r="D114" i="8"/>
  <c r="C114" i="8"/>
  <c r="A114" i="8"/>
  <c r="A113" i="8"/>
  <c r="A111" i="8"/>
  <c r="D110" i="8"/>
  <c r="C110" i="8"/>
  <c r="B110" i="8"/>
  <c r="O110" i="8" s="1"/>
  <c r="P110" i="8" s="1"/>
  <c r="Q110" i="8" s="1"/>
  <c r="A110" i="8"/>
  <c r="D109" i="8"/>
  <c r="C109" i="8"/>
  <c r="B109" i="8"/>
  <c r="O109" i="8" s="1"/>
  <c r="P109" i="8" s="1"/>
  <c r="Q109" i="8" s="1"/>
  <c r="A109" i="8"/>
  <c r="D108" i="8"/>
  <c r="C108" i="8"/>
  <c r="B108" i="8"/>
  <c r="O108" i="8" s="1"/>
  <c r="P108" i="8" s="1"/>
  <c r="Q108" i="8" s="1"/>
  <c r="A108" i="8"/>
  <c r="Q106" i="8"/>
  <c r="P106" i="8"/>
  <c r="D106" i="8"/>
  <c r="A106" i="8"/>
  <c r="A105" i="8"/>
  <c r="D104" i="8"/>
  <c r="C104" i="8"/>
  <c r="O104" i="8" s="1"/>
  <c r="P104" i="8" s="1"/>
  <c r="Q104" i="8" s="1"/>
  <c r="B104" i="8"/>
  <c r="A104" i="8"/>
  <c r="D103" i="8"/>
  <c r="C103" i="8"/>
  <c r="B103" i="8"/>
  <c r="O103" i="8" s="1"/>
  <c r="P103" i="8" s="1"/>
  <c r="Q103" i="8" s="1"/>
  <c r="A103" i="8"/>
  <c r="D102" i="8"/>
  <c r="C102" i="8"/>
  <c r="B102" i="8"/>
  <c r="O102" i="8" s="1"/>
  <c r="P102" i="8" s="1"/>
  <c r="Q102" i="8" s="1"/>
  <c r="A102" i="8"/>
  <c r="Q100" i="8"/>
  <c r="P100" i="8"/>
  <c r="D100" i="8"/>
  <c r="A100" i="8"/>
  <c r="A99" i="8"/>
  <c r="O98" i="8"/>
  <c r="P98" i="8" s="1"/>
  <c r="Q98" i="8" s="1"/>
  <c r="D98" i="8"/>
  <c r="C98" i="8"/>
  <c r="B98" i="8"/>
  <c r="A98" i="8"/>
  <c r="D97" i="8"/>
  <c r="O97" i="8" s="1"/>
  <c r="P97" i="8" s="1"/>
  <c r="Q97" i="8" s="1"/>
  <c r="C97" i="8"/>
  <c r="B97" i="8"/>
  <c r="A97" i="8"/>
  <c r="D96" i="8"/>
  <c r="C96" i="8"/>
  <c r="O96" i="8" s="1"/>
  <c r="P96" i="8" s="1"/>
  <c r="Q96" i="8" s="1"/>
  <c r="B96" i="8"/>
  <c r="A96" i="8"/>
  <c r="Q94" i="8"/>
  <c r="P94" i="8"/>
  <c r="D94" i="8"/>
  <c r="A94" i="8"/>
  <c r="A93" i="8"/>
  <c r="D92" i="8"/>
  <c r="C92" i="8"/>
  <c r="B92" i="8"/>
  <c r="O92" i="8" s="1"/>
  <c r="P92" i="8" s="1"/>
  <c r="Q92" i="8" s="1"/>
  <c r="A92" i="8"/>
  <c r="D91" i="8"/>
  <c r="C91" i="8"/>
  <c r="B91" i="8"/>
  <c r="O91" i="8" s="1"/>
  <c r="P91" i="8" s="1"/>
  <c r="Q91" i="8" s="1"/>
  <c r="A91" i="8"/>
  <c r="O90" i="8"/>
  <c r="P90" i="8" s="1"/>
  <c r="Q90" i="8" s="1"/>
  <c r="D90" i="8"/>
  <c r="C90" i="8"/>
  <c r="B90" i="8"/>
  <c r="A90" i="8"/>
  <c r="Q88" i="8"/>
  <c r="P88" i="8"/>
  <c r="D88" i="8"/>
  <c r="A88" i="8"/>
  <c r="D87" i="8"/>
  <c r="D86" i="8"/>
  <c r="C86" i="8"/>
  <c r="B86" i="8"/>
  <c r="O86" i="8" s="1"/>
  <c r="P86" i="8" s="1"/>
  <c r="Q86" i="8" s="1"/>
  <c r="A86" i="8"/>
  <c r="D85" i="8"/>
  <c r="C85" i="8"/>
  <c r="B85" i="8"/>
  <c r="O85" i="8" s="1"/>
  <c r="P85" i="8" s="1"/>
  <c r="Q85" i="8" s="1"/>
  <c r="A85" i="8"/>
  <c r="D84" i="8"/>
  <c r="C84" i="8"/>
  <c r="B84" i="8"/>
  <c r="O84" i="8" s="1"/>
  <c r="P84" i="8" s="1"/>
  <c r="Q84" i="8" s="1"/>
  <c r="A84" i="8"/>
  <c r="Q82" i="8"/>
  <c r="P82" i="8"/>
  <c r="D82" i="8"/>
  <c r="A82" i="8"/>
  <c r="A81" i="8"/>
  <c r="U78" i="8"/>
  <c r="Z78" i="8" s="1"/>
  <c r="N78" i="8"/>
  <c r="L78" i="8"/>
  <c r="B78" i="8"/>
  <c r="O78" i="8" s="1"/>
  <c r="N77" i="8"/>
  <c r="M77" i="8"/>
  <c r="L77" i="8"/>
  <c r="I77" i="8"/>
  <c r="H77" i="8"/>
  <c r="G77" i="8"/>
  <c r="F77" i="8"/>
  <c r="E77" i="8"/>
  <c r="D77" i="8"/>
  <c r="C77" i="8"/>
  <c r="O77" i="8" s="1"/>
  <c r="B77" i="8"/>
  <c r="N76" i="8"/>
  <c r="N49" i="10" s="1"/>
  <c r="M76" i="8"/>
  <c r="M49" i="10" s="1"/>
  <c r="L76" i="8"/>
  <c r="L49" i="10" s="1"/>
  <c r="K76" i="8"/>
  <c r="K49" i="10" s="1"/>
  <c r="J76" i="8"/>
  <c r="J49" i="10" s="1"/>
  <c r="G76" i="8"/>
  <c r="G49" i="10" s="1"/>
  <c r="F76" i="8"/>
  <c r="F49" i="10" s="1"/>
  <c r="E76" i="8"/>
  <c r="E49" i="10" s="1"/>
  <c r="D76" i="8"/>
  <c r="D49" i="10" s="1"/>
  <c r="C76" i="8"/>
  <c r="C49" i="10" s="1"/>
  <c r="B76" i="8"/>
  <c r="Z75" i="8"/>
  <c r="Y75" i="8"/>
  <c r="X75" i="8"/>
  <c r="V75" i="8"/>
  <c r="T75" i="8"/>
  <c r="S75" i="8"/>
  <c r="R75" i="8"/>
  <c r="P75" i="8"/>
  <c r="N75" i="8"/>
  <c r="Y74" i="8"/>
  <c r="W74" i="8"/>
  <c r="U74" i="8"/>
  <c r="S74" i="8"/>
  <c r="Q74" i="8"/>
  <c r="O74" i="8"/>
  <c r="D74" i="8"/>
  <c r="C74" i="8"/>
  <c r="A74" i="8"/>
  <c r="N72" i="8"/>
  <c r="L72" i="8"/>
  <c r="O72" i="8" s="1"/>
  <c r="B72" i="8"/>
  <c r="U72" i="8" s="1"/>
  <c r="N71" i="8"/>
  <c r="M71" i="8"/>
  <c r="L71" i="8"/>
  <c r="I71" i="8"/>
  <c r="H71" i="8"/>
  <c r="G71" i="8"/>
  <c r="F71" i="8"/>
  <c r="E71" i="8"/>
  <c r="D71" i="8"/>
  <c r="C71" i="8"/>
  <c r="B71" i="8"/>
  <c r="N70" i="8"/>
  <c r="N48" i="10" s="1"/>
  <c r="M70" i="8"/>
  <c r="M48" i="10" s="1"/>
  <c r="L70" i="8"/>
  <c r="L48" i="10" s="1"/>
  <c r="K70" i="8"/>
  <c r="K48" i="10" s="1"/>
  <c r="J70" i="8"/>
  <c r="J48" i="10" s="1"/>
  <c r="G70" i="8"/>
  <c r="F70" i="8"/>
  <c r="F48" i="10" s="1"/>
  <c r="E70" i="8"/>
  <c r="E48" i="10" s="1"/>
  <c r="D70" i="8"/>
  <c r="D48" i="10" s="1"/>
  <c r="C70" i="8"/>
  <c r="C48" i="10" s="1"/>
  <c r="B70" i="8"/>
  <c r="Z69" i="8"/>
  <c r="Y69" i="8"/>
  <c r="X69" i="8"/>
  <c r="V69" i="8"/>
  <c r="T69" i="8"/>
  <c r="S69" i="8"/>
  <c r="R69" i="8"/>
  <c r="P69" i="8"/>
  <c r="N69" i="8"/>
  <c r="Y68" i="8"/>
  <c r="W68" i="8"/>
  <c r="U68" i="8"/>
  <c r="S68" i="8"/>
  <c r="Q68" i="8"/>
  <c r="O68" i="8"/>
  <c r="D68" i="8"/>
  <c r="C68" i="8"/>
  <c r="A68" i="8"/>
  <c r="N66" i="8"/>
  <c r="L66" i="8"/>
  <c r="B66" i="8"/>
  <c r="N65" i="8"/>
  <c r="M65" i="8"/>
  <c r="L65" i="8"/>
  <c r="I65" i="8"/>
  <c r="H65" i="8"/>
  <c r="G65" i="8"/>
  <c r="F65" i="8"/>
  <c r="E65" i="8"/>
  <c r="D65" i="8"/>
  <c r="C65" i="8"/>
  <c r="B65" i="8"/>
  <c r="N64" i="8"/>
  <c r="N43" i="10" s="1"/>
  <c r="M64" i="8"/>
  <c r="M47" i="10" s="1"/>
  <c r="L64" i="8"/>
  <c r="L47" i="10" s="1"/>
  <c r="K64" i="8"/>
  <c r="K47" i="10" s="1"/>
  <c r="J64" i="8"/>
  <c r="J47" i="10" s="1"/>
  <c r="G64" i="8"/>
  <c r="G47" i="10" s="1"/>
  <c r="F64" i="8"/>
  <c r="E64" i="8"/>
  <c r="E47" i="10" s="1"/>
  <c r="D64" i="8"/>
  <c r="D47" i="10" s="1"/>
  <c r="C64" i="8"/>
  <c r="C47" i="10" s="1"/>
  <c r="B64" i="8"/>
  <c r="B47" i="10" s="1"/>
  <c r="Z63" i="8"/>
  <c r="Y63" i="8"/>
  <c r="X63" i="8"/>
  <c r="V63" i="8"/>
  <c r="T63" i="8"/>
  <c r="S63" i="8"/>
  <c r="R63" i="8"/>
  <c r="P63" i="8"/>
  <c r="N63" i="8"/>
  <c r="Y62" i="8"/>
  <c r="W62" i="8"/>
  <c r="U62" i="8"/>
  <c r="S62" i="8"/>
  <c r="Q62" i="8"/>
  <c r="O62" i="8"/>
  <c r="D62" i="8"/>
  <c r="C62" i="8"/>
  <c r="A62" i="8"/>
  <c r="U60" i="8"/>
  <c r="W60" i="8" s="1"/>
  <c r="N60" i="8"/>
  <c r="L60" i="8"/>
  <c r="B60" i="8"/>
  <c r="N59" i="8"/>
  <c r="M59" i="8"/>
  <c r="L59" i="8"/>
  <c r="I59" i="8"/>
  <c r="H59" i="8"/>
  <c r="G59" i="8"/>
  <c r="F59" i="8"/>
  <c r="E59" i="8"/>
  <c r="D59" i="8"/>
  <c r="O59" i="8" s="1"/>
  <c r="C59" i="8"/>
  <c r="B59" i="8"/>
  <c r="N58" i="8"/>
  <c r="N46" i="10" s="1"/>
  <c r="M58" i="8"/>
  <c r="L58" i="8"/>
  <c r="L46" i="10" s="1"/>
  <c r="K58" i="8"/>
  <c r="K46" i="10" s="1"/>
  <c r="J58" i="8"/>
  <c r="J46" i="10" s="1"/>
  <c r="G58" i="8"/>
  <c r="G46" i="10" s="1"/>
  <c r="F58" i="8"/>
  <c r="F46" i="10" s="1"/>
  <c r="E58" i="8"/>
  <c r="D58" i="8"/>
  <c r="D46" i="10" s="1"/>
  <c r="C58" i="8"/>
  <c r="C46" i="10" s="1"/>
  <c r="B58" i="8"/>
  <c r="O58" i="8" s="1"/>
  <c r="Z57" i="8"/>
  <c r="Y57" i="8"/>
  <c r="X57" i="8"/>
  <c r="V57" i="8"/>
  <c r="T57" i="8"/>
  <c r="S57" i="8"/>
  <c r="R57" i="8"/>
  <c r="P57" i="8"/>
  <c r="N57" i="8"/>
  <c r="N41" i="10" s="1"/>
  <c r="Y56" i="8"/>
  <c r="W56" i="8"/>
  <c r="U56" i="8"/>
  <c r="S56" i="8"/>
  <c r="Q56" i="8"/>
  <c r="O56" i="8"/>
  <c r="D56" i="8"/>
  <c r="C56" i="8"/>
  <c r="A56" i="8"/>
  <c r="O54" i="8"/>
  <c r="T54" i="8" s="1"/>
  <c r="N54" i="8"/>
  <c r="L54" i="8"/>
  <c r="U54" i="8" s="1"/>
  <c r="B54" i="8"/>
  <c r="N53" i="8"/>
  <c r="M53" i="8"/>
  <c r="L53" i="8"/>
  <c r="I53" i="8"/>
  <c r="H53" i="8"/>
  <c r="G53" i="8"/>
  <c r="F53" i="8"/>
  <c r="E53" i="8"/>
  <c r="D53" i="8"/>
  <c r="C53" i="8"/>
  <c r="B53" i="8"/>
  <c r="O53" i="8" s="1"/>
  <c r="N52" i="8"/>
  <c r="N45" i="10" s="1"/>
  <c r="M52" i="8"/>
  <c r="M45" i="10" s="1"/>
  <c r="L52" i="8"/>
  <c r="L45" i="10" s="1"/>
  <c r="K52" i="8"/>
  <c r="K45" i="10" s="1"/>
  <c r="J52" i="8"/>
  <c r="J45" i="10" s="1"/>
  <c r="G52" i="8"/>
  <c r="G45" i="10" s="1"/>
  <c r="F52" i="8"/>
  <c r="F45" i="10" s="1"/>
  <c r="E52" i="8"/>
  <c r="E45" i="10" s="1"/>
  <c r="D52" i="8"/>
  <c r="C52" i="8"/>
  <c r="C45" i="10" s="1"/>
  <c r="B52" i="8"/>
  <c r="B45" i="10" s="1"/>
  <c r="Z51" i="8"/>
  <c r="Y51" i="8"/>
  <c r="X51" i="8"/>
  <c r="V51" i="8"/>
  <c r="T51" i="8"/>
  <c r="S51" i="8"/>
  <c r="R51" i="8"/>
  <c r="P51" i="8"/>
  <c r="N51" i="8"/>
  <c r="Y50" i="8"/>
  <c r="W50" i="8"/>
  <c r="U50" i="8"/>
  <c r="S50" i="8"/>
  <c r="Q50" i="8"/>
  <c r="O50" i="8"/>
  <c r="D50" i="8"/>
  <c r="C50" i="8"/>
  <c r="A50" i="8"/>
  <c r="A49" i="8"/>
  <c r="U48" i="8"/>
  <c r="O48" i="8"/>
  <c r="A47" i="8"/>
  <c r="N44" i="8"/>
  <c r="E44" i="8"/>
  <c r="D44" i="8"/>
  <c r="C44" i="8"/>
  <c r="B44" i="8"/>
  <c r="O44" i="8" s="1"/>
  <c r="A44" i="8"/>
  <c r="N43" i="8"/>
  <c r="E43" i="8"/>
  <c r="D43" i="8"/>
  <c r="C43" i="8"/>
  <c r="O43" i="8" s="1"/>
  <c r="B43" i="8"/>
  <c r="A43" i="8"/>
  <c r="N42" i="8"/>
  <c r="E42" i="8"/>
  <c r="D42" i="8"/>
  <c r="C42" i="8"/>
  <c r="B42" i="8"/>
  <c r="A42" i="8"/>
  <c r="T41" i="8"/>
  <c r="S41" i="8"/>
  <c r="N41" i="8"/>
  <c r="S40" i="8"/>
  <c r="Q40" i="8"/>
  <c r="O40" i="8"/>
  <c r="J40" i="8"/>
  <c r="I40" i="8"/>
  <c r="H40" i="8"/>
  <c r="G40" i="8"/>
  <c r="F40" i="8"/>
  <c r="E40" i="8"/>
  <c r="D40" i="8"/>
  <c r="C40" i="8"/>
  <c r="A40" i="8"/>
  <c r="N38" i="8"/>
  <c r="E38" i="8"/>
  <c r="D38" i="8"/>
  <c r="C38" i="8"/>
  <c r="B38" i="8"/>
  <c r="A38" i="8"/>
  <c r="N37" i="8"/>
  <c r="E37" i="8"/>
  <c r="D37" i="8"/>
  <c r="C37" i="8"/>
  <c r="B37" i="8"/>
  <c r="A37" i="8"/>
  <c r="N36" i="8"/>
  <c r="E36" i="8"/>
  <c r="D36" i="8"/>
  <c r="C36" i="8"/>
  <c r="B36" i="8"/>
  <c r="A36" i="8"/>
  <c r="T35" i="8"/>
  <c r="S35" i="8"/>
  <c r="N35" i="8"/>
  <c r="S34" i="8"/>
  <c r="Q34" i="8"/>
  <c r="O34" i="8"/>
  <c r="J34" i="8"/>
  <c r="I34" i="8"/>
  <c r="H34" i="8"/>
  <c r="G34" i="8"/>
  <c r="F34" i="8"/>
  <c r="E34" i="8"/>
  <c r="D34" i="8"/>
  <c r="C34" i="8"/>
  <c r="A34" i="8"/>
  <c r="A33" i="8"/>
  <c r="N30" i="8"/>
  <c r="L30" i="8"/>
  <c r="B30" i="8"/>
  <c r="N29" i="8"/>
  <c r="M29" i="8"/>
  <c r="L29" i="8"/>
  <c r="I29" i="8"/>
  <c r="H29" i="8"/>
  <c r="G29" i="8"/>
  <c r="F29" i="8"/>
  <c r="E29" i="8"/>
  <c r="D29" i="8"/>
  <c r="C29" i="8"/>
  <c r="B29" i="8"/>
  <c r="N28" i="8"/>
  <c r="M28" i="8"/>
  <c r="M43" i="10" s="1"/>
  <c r="L28" i="8"/>
  <c r="L43" i="10" s="1"/>
  <c r="K28" i="8"/>
  <c r="K43" i="10" s="1"/>
  <c r="J28" i="8"/>
  <c r="J43" i="10" s="1"/>
  <c r="G28" i="8"/>
  <c r="G43" i="10" s="1"/>
  <c r="F28" i="8"/>
  <c r="F43" i="10" s="1"/>
  <c r="E28" i="8"/>
  <c r="E43" i="10" s="1"/>
  <c r="D28" i="8"/>
  <c r="D43" i="10" s="1"/>
  <c r="C28" i="8"/>
  <c r="C43" i="10" s="1"/>
  <c r="B28" i="8"/>
  <c r="B43" i="10" s="1"/>
  <c r="Z27" i="8"/>
  <c r="Y27" i="8"/>
  <c r="X27" i="8"/>
  <c r="V27" i="8"/>
  <c r="T27" i="8"/>
  <c r="S27" i="8"/>
  <c r="R27" i="8"/>
  <c r="P27" i="8"/>
  <c r="N27" i="8"/>
  <c r="Y26" i="8"/>
  <c r="W26" i="8"/>
  <c r="U26" i="8"/>
  <c r="S26" i="8"/>
  <c r="Q26" i="8"/>
  <c r="O26" i="8"/>
  <c r="D26" i="8"/>
  <c r="C26" i="8"/>
  <c r="A26" i="8"/>
  <c r="N24" i="8"/>
  <c r="L24" i="8"/>
  <c r="O24" i="8" s="1"/>
  <c r="Q24" i="8" s="1"/>
  <c r="B24" i="8"/>
  <c r="N23" i="8"/>
  <c r="M23" i="8"/>
  <c r="L23" i="8"/>
  <c r="I23" i="8"/>
  <c r="H23" i="8"/>
  <c r="G23" i="8"/>
  <c r="F23" i="8"/>
  <c r="E23" i="8"/>
  <c r="D23" i="8"/>
  <c r="C23" i="8"/>
  <c r="B23" i="8"/>
  <c r="N22" i="8"/>
  <c r="N42" i="10" s="1"/>
  <c r="M22" i="8"/>
  <c r="M42" i="10" s="1"/>
  <c r="L22" i="8"/>
  <c r="L42" i="10" s="1"/>
  <c r="K22" i="8"/>
  <c r="K42" i="10" s="1"/>
  <c r="J22" i="8"/>
  <c r="J42" i="10" s="1"/>
  <c r="G22" i="8"/>
  <c r="G42" i="10" s="1"/>
  <c r="F22" i="8"/>
  <c r="F42" i="10" s="1"/>
  <c r="E22" i="8"/>
  <c r="E42" i="10" s="1"/>
  <c r="D22" i="8"/>
  <c r="D42" i="10" s="1"/>
  <c r="C22" i="8"/>
  <c r="C42" i="10" s="1"/>
  <c r="B22" i="8"/>
  <c r="B42" i="10" s="1"/>
  <c r="Z21" i="8"/>
  <c r="Y21" i="8"/>
  <c r="X21" i="8"/>
  <c r="V21" i="8"/>
  <c r="T21" i="8"/>
  <c r="S21" i="8"/>
  <c r="R21" i="8"/>
  <c r="P21" i="8"/>
  <c r="N21" i="8"/>
  <c r="Y20" i="8"/>
  <c r="W20" i="8"/>
  <c r="U20" i="8"/>
  <c r="S20" i="8"/>
  <c r="Q20" i="8"/>
  <c r="O20" i="8"/>
  <c r="D20" i="8"/>
  <c r="C20" i="8"/>
  <c r="A20" i="8"/>
  <c r="U18" i="8"/>
  <c r="O18" i="8"/>
  <c r="A17" i="8"/>
  <c r="B14" i="8"/>
  <c r="W177" i="7"/>
  <c r="S177" i="7"/>
  <c r="R177" i="7"/>
  <c r="D177" i="7"/>
  <c r="H176" i="7"/>
  <c r="G176" i="7"/>
  <c r="F176" i="7"/>
  <c r="E176" i="7"/>
  <c r="C176" i="7"/>
  <c r="B176" i="7"/>
  <c r="H175" i="7"/>
  <c r="G175" i="7"/>
  <c r="C175" i="7"/>
  <c r="B175" i="7"/>
  <c r="H174" i="7"/>
  <c r="G174" i="7"/>
  <c r="C174" i="7"/>
  <c r="B174" i="7"/>
  <c r="B172" i="7"/>
  <c r="A172" i="7"/>
  <c r="W170" i="7"/>
  <c r="S170" i="7"/>
  <c r="R170" i="7"/>
  <c r="D170" i="7"/>
  <c r="H169" i="7"/>
  <c r="G169" i="7"/>
  <c r="F169" i="7"/>
  <c r="E169" i="7"/>
  <c r="C169" i="7"/>
  <c r="B169" i="7"/>
  <c r="H168" i="7"/>
  <c r="G168" i="7"/>
  <c r="C168" i="7"/>
  <c r="B168" i="7"/>
  <c r="H167" i="7"/>
  <c r="G167" i="7"/>
  <c r="C167" i="7"/>
  <c r="B167" i="7"/>
  <c r="B165" i="7"/>
  <c r="A165" i="7"/>
  <c r="W163" i="7"/>
  <c r="S163" i="7"/>
  <c r="R163" i="7"/>
  <c r="D163" i="7"/>
  <c r="H162" i="7"/>
  <c r="G162" i="7"/>
  <c r="F162" i="7"/>
  <c r="E162" i="7"/>
  <c r="C162" i="7"/>
  <c r="B162" i="7"/>
  <c r="H161" i="7"/>
  <c r="G161" i="7"/>
  <c r="C161" i="7"/>
  <c r="B161" i="7"/>
  <c r="H160" i="7"/>
  <c r="G160" i="7"/>
  <c r="C160" i="7"/>
  <c r="B160" i="7"/>
  <c r="B158" i="7"/>
  <c r="A158" i="7"/>
  <c r="W156" i="7"/>
  <c r="S156" i="7"/>
  <c r="R156" i="7"/>
  <c r="D156" i="7"/>
  <c r="H155" i="7"/>
  <c r="G155" i="7"/>
  <c r="F155" i="7"/>
  <c r="E155" i="7"/>
  <c r="C155" i="7"/>
  <c r="B155" i="7"/>
  <c r="H154" i="7"/>
  <c r="G154" i="7"/>
  <c r="C154" i="7"/>
  <c r="B154" i="7"/>
  <c r="H153" i="7"/>
  <c r="G153" i="7"/>
  <c r="C153" i="7"/>
  <c r="B153" i="7"/>
  <c r="B151" i="7"/>
  <c r="A151" i="7"/>
  <c r="W149" i="7"/>
  <c r="S149" i="7"/>
  <c r="R149" i="7"/>
  <c r="B149" i="7"/>
  <c r="S148" i="7"/>
  <c r="R148" i="7"/>
  <c r="C148" i="7"/>
  <c r="B148" i="7"/>
  <c r="U147" i="7"/>
  <c r="R147" i="7"/>
  <c r="C147" i="7"/>
  <c r="B147" i="7"/>
  <c r="W146" i="7"/>
  <c r="T146" i="7"/>
  <c r="S146" i="7"/>
  <c r="R146" i="7"/>
  <c r="C146" i="7"/>
  <c r="B146" i="7"/>
  <c r="B144" i="7"/>
  <c r="A144" i="7"/>
  <c r="W142" i="7"/>
  <c r="S142" i="7"/>
  <c r="R142" i="7"/>
  <c r="B142" i="7"/>
  <c r="S141" i="7"/>
  <c r="R141" i="7"/>
  <c r="C141" i="7"/>
  <c r="B141" i="7"/>
  <c r="U140" i="7"/>
  <c r="R140" i="7"/>
  <c r="C140" i="7"/>
  <c r="B140" i="7"/>
  <c r="W139" i="7"/>
  <c r="T139" i="7"/>
  <c r="S139" i="7"/>
  <c r="R139" i="7"/>
  <c r="C139" i="7"/>
  <c r="B139" i="7"/>
  <c r="B137" i="7"/>
  <c r="A137" i="7"/>
  <c r="W135" i="7"/>
  <c r="S135" i="7"/>
  <c r="R135" i="7"/>
  <c r="B135" i="7"/>
  <c r="S134" i="7"/>
  <c r="R134" i="7"/>
  <c r="C134" i="7"/>
  <c r="B134" i="7"/>
  <c r="U133" i="7"/>
  <c r="R133" i="7"/>
  <c r="C133" i="7"/>
  <c r="B133" i="7"/>
  <c r="W132" i="7"/>
  <c r="T132" i="7"/>
  <c r="S132" i="7"/>
  <c r="R132" i="7"/>
  <c r="C132" i="7"/>
  <c r="B132" i="7"/>
  <c r="B130" i="7"/>
  <c r="A130" i="7"/>
  <c r="W128" i="7"/>
  <c r="S128" i="7"/>
  <c r="R128" i="7"/>
  <c r="B128" i="7"/>
  <c r="S127" i="7"/>
  <c r="R127" i="7"/>
  <c r="C127" i="7"/>
  <c r="B127" i="7"/>
  <c r="U126" i="7"/>
  <c r="R126" i="7"/>
  <c r="C126" i="7"/>
  <c r="B126" i="7"/>
  <c r="W125" i="7"/>
  <c r="T125" i="7"/>
  <c r="S125" i="7"/>
  <c r="R125" i="7"/>
  <c r="C125" i="7"/>
  <c r="B125" i="7"/>
  <c r="B123" i="7"/>
  <c r="A123" i="7"/>
  <c r="W121" i="7"/>
  <c r="S121" i="7"/>
  <c r="R121" i="7"/>
  <c r="D121" i="7"/>
  <c r="H120" i="7"/>
  <c r="G120" i="7"/>
  <c r="F120" i="7"/>
  <c r="E120" i="7"/>
  <c r="C120" i="7"/>
  <c r="B120" i="7"/>
  <c r="H119" i="7"/>
  <c r="G119" i="7"/>
  <c r="C119" i="7"/>
  <c r="B119" i="7"/>
  <c r="H118" i="7"/>
  <c r="G118" i="7"/>
  <c r="C118" i="7"/>
  <c r="B118" i="7"/>
  <c r="B116" i="7"/>
  <c r="A116" i="7"/>
  <c r="W114" i="7"/>
  <c r="S114" i="7"/>
  <c r="R114" i="7"/>
  <c r="D114" i="7"/>
  <c r="H113" i="7"/>
  <c r="G113" i="7"/>
  <c r="F113" i="7"/>
  <c r="E113" i="7"/>
  <c r="C113" i="7"/>
  <c r="B113" i="7"/>
  <c r="H112" i="7"/>
  <c r="G112" i="7"/>
  <c r="C112" i="7"/>
  <c r="B112" i="7"/>
  <c r="H111" i="7"/>
  <c r="G111" i="7"/>
  <c r="C111" i="7"/>
  <c r="B111" i="7"/>
  <c r="B109" i="7"/>
  <c r="A109" i="7"/>
  <c r="W107" i="7"/>
  <c r="S107" i="7"/>
  <c r="R107" i="7"/>
  <c r="D107" i="7"/>
  <c r="H106" i="7"/>
  <c r="G106" i="7"/>
  <c r="F106" i="7"/>
  <c r="E106" i="7"/>
  <c r="C106" i="7"/>
  <c r="B106" i="7"/>
  <c r="H105" i="7"/>
  <c r="G105" i="7"/>
  <c r="C105" i="7"/>
  <c r="B105" i="7"/>
  <c r="H104" i="7"/>
  <c r="G104" i="7"/>
  <c r="C104" i="7"/>
  <c r="B104" i="7"/>
  <c r="B102" i="7"/>
  <c r="A102" i="7"/>
  <c r="W100" i="7"/>
  <c r="S100" i="7"/>
  <c r="R100" i="7"/>
  <c r="D100" i="7"/>
  <c r="H99" i="7"/>
  <c r="G99" i="7"/>
  <c r="F99" i="7"/>
  <c r="E99" i="7"/>
  <c r="C99" i="7"/>
  <c r="B99" i="7"/>
  <c r="H98" i="7"/>
  <c r="G98" i="7"/>
  <c r="C98" i="7"/>
  <c r="B98" i="7"/>
  <c r="H97" i="7"/>
  <c r="G97" i="7"/>
  <c r="C97" i="7"/>
  <c r="B97" i="7"/>
  <c r="B95" i="7"/>
  <c r="A95" i="7"/>
  <c r="W93" i="7"/>
  <c r="S93" i="7"/>
  <c r="R93" i="7"/>
  <c r="D93" i="7"/>
  <c r="H92" i="7"/>
  <c r="G92" i="7"/>
  <c r="F92" i="7"/>
  <c r="E92" i="7"/>
  <c r="C92" i="7"/>
  <c r="B92" i="7"/>
  <c r="H91" i="7"/>
  <c r="G91" i="7"/>
  <c r="C91" i="7"/>
  <c r="B91" i="7"/>
  <c r="H90" i="7"/>
  <c r="G90" i="7"/>
  <c r="C90" i="7"/>
  <c r="B90" i="7"/>
  <c r="B88" i="7"/>
  <c r="A88" i="7"/>
  <c r="W86" i="7"/>
  <c r="S86" i="7"/>
  <c r="R86" i="7"/>
  <c r="M86" i="7"/>
  <c r="I86" i="7"/>
  <c r="D86" i="7"/>
  <c r="Q85" i="7"/>
  <c r="P85" i="7"/>
  <c r="O85" i="7"/>
  <c r="N85" i="7"/>
  <c r="L85" i="7"/>
  <c r="K85" i="7"/>
  <c r="J85" i="7"/>
  <c r="I85" i="7"/>
  <c r="H85" i="7"/>
  <c r="G85" i="7"/>
  <c r="F85" i="7"/>
  <c r="E85" i="7"/>
  <c r="D85" i="7"/>
  <c r="C85" i="7"/>
  <c r="B85" i="7"/>
  <c r="Q84" i="7"/>
  <c r="P84" i="7"/>
  <c r="L84" i="7"/>
  <c r="K84" i="7"/>
  <c r="J84" i="7"/>
  <c r="I84" i="7"/>
  <c r="H84" i="7"/>
  <c r="G84" i="7"/>
  <c r="F84" i="7"/>
  <c r="E84" i="7"/>
  <c r="D84" i="7"/>
  <c r="C84" i="7"/>
  <c r="B84" i="7"/>
  <c r="Q83" i="7"/>
  <c r="P83" i="7"/>
  <c r="L83" i="7"/>
  <c r="K83" i="7"/>
  <c r="J83" i="7"/>
  <c r="I83" i="7"/>
  <c r="F83" i="7"/>
  <c r="E83" i="7"/>
  <c r="D83" i="7"/>
  <c r="W82" i="7"/>
  <c r="S82" i="7"/>
  <c r="R82" i="7"/>
  <c r="Q82" i="7"/>
  <c r="P82" i="7"/>
  <c r="L82" i="7"/>
  <c r="K82" i="7"/>
  <c r="J82" i="7"/>
  <c r="I82" i="7"/>
  <c r="H82" i="7"/>
  <c r="G82" i="7"/>
  <c r="F82" i="7"/>
  <c r="E82" i="7"/>
  <c r="D82" i="7"/>
  <c r="C82" i="7"/>
  <c r="B82" i="7"/>
  <c r="W81" i="7"/>
  <c r="S81" i="7"/>
  <c r="R81" i="7"/>
  <c r="Q81" i="7"/>
  <c r="P81" i="7"/>
  <c r="L81" i="7"/>
  <c r="K81" i="7"/>
  <c r="J81" i="7"/>
  <c r="I81" i="7"/>
  <c r="H81" i="7"/>
  <c r="G81" i="7"/>
  <c r="F81" i="7"/>
  <c r="E81" i="7"/>
  <c r="D81" i="7"/>
  <c r="C81" i="7"/>
  <c r="B81" i="7"/>
  <c r="B79" i="7"/>
  <c r="A79" i="7"/>
  <c r="W77" i="7"/>
  <c r="S77" i="7"/>
  <c r="R77" i="7"/>
  <c r="M77" i="7"/>
  <c r="I77" i="7"/>
  <c r="D77" i="7"/>
  <c r="Q76" i="7"/>
  <c r="P76" i="7"/>
  <c r="O76" i="7"/>
  <c r="N76" i="7"/>
  <c r="L76" i="7"/>
  <c r="K76" i="7"/>
  <c r="J76" i="7"/>
  <c r="I76" i="7"/>
  <c r="H76" i="7"/>
  <c r="G76" i="7"/>
  <c r="F76" i="7"/>
  <c r="E76" i="7"/>
  <c r="D76" i="7"/>
  <c r="C76" i="7"/>
  <c r="B76" i="7"/>
  <c r="Q75" i="7"/>
  <c r="P75" i="7"/>
  <c r="L75" i="7"/>
  <c r="K75" i="7"/>
  <c r="J75" i="7"/>
  <c r="I75" i="7"/>
  <c r="H75" i="7"/>
  <c r="G75" i="7"/>
  <c r="F75" i="7"/>
  <c r="E75" i="7"/>
  <c r="D75" i="7"/>
  <c r="C75" i="7"/>
  <c r="B75" i="7"/>
  <c r="Q74" i="7"/>
  <c r="P74" i="7"/>
  <c r="L74" i="7"/>
  <c r="K74" i="7"/>
  <c r="J74" i="7"/>
  <c r="I74" i="7"/>
  <c r="F74" i="7"/>
  <c r="E74" i="7"/>
  <c r="D74" i="7"/>
  <c r="W73" i="7"/>
  <c r="S73" i="7"/>
  <c r="R73" i="7"/>
  <c r="Q73" i="7"/>
  <c r="P73" i="7"/>
  <c r="L73" i="7"/>
  <c r="K73" i="7"/>
  <c r="J73" i="7"/>
  <c r="I73" i="7"/>
  <c r="H73" i="7"/>
  <c r="G73" i="7"/>
  <c r="F73" i="7"/>
  <c r="E73" i="7"/>
  <c r="D73" i="7"/>
  <c r="C73" i="7"/>
  <c r="B73" i="7"/>
  <c r="W72" i="7"/>
  <c r="S72" i="7"/>
  <c r="R72" i="7"/>
  <c r="Q72" i="7"/>
  <c r="P72" i="7"/>
  <c r="L72" i="7"/>
  <c r="K72" i="7"/>
  <c r="J72" i="7"/>
  <c r="I72" i="7"/>
  <c r="H72" i="7"/>
  <c r="G72" i="7"/>
  <c r="F72" i="7"/>
  <c r="E72" i="7"/>
  <c r="D72" i="7"/>
  <c r="C72" i="7"/>
  <c r="B72" i="7"/>
  <c r="B70" i="7"/>
  <c r="A70" i="7"/>
  <c r="W68" i="7"/>
  <c r="S68" i="7"/>
  <c r="R68" i="7"/>
  <c r="M68" i="7"/>
  <c r="I68" i="7"/>
  <c r="D68" i="7"/>
  <c r="Q67" i="7"/>
  <c r="P67" i="7"/>
  <c r="O67" i="7"/>
  <c r="N67" i="7"/>
  <c r="L67" i="7"/>
  <c r="K67" i="7"/>
  <c r="J67" i="7"/>
  <c r="I67" i="7"/>
  <c r="H67" i="7"/>
  <c r="G67" i="7"/>
  <c r="F67" i="7"/>
  <c r="E67" i="7"/>
  <c r="D67" i="7"/>
  <c r="C67" i="7"/>
  <c r="B67" i="7"/>
  <c r="Q66" i="7"/>
  <c r="P66" i="7"/>
  <c r="L66" i="7"/>
  <c r="K66" i="7"/>
  <c r="J66" i="7"/>
  <c r="I66" i="7"/>
  <c r="H66" i="7"/>
  <c r="G66" i="7"/>
  <c r="F66" i="7"/>
  <c r="E66" i="7"/>
  <c r="D66" i="7"/>
  <c r="C66" i="7"/>
  <c r="B66" i="7"/>
  <c r="Q65" i="7"/>
  <c r="P65" i="7"/>
  <c r="L65" i="7"/>
  <c r="K65" i="7"/>
  <c r="J65" i="7"/>
  <c r="I65" i="7"/>
  <c r="G65" i="7"/>
  <c r="F65" i="7"/>
  <c r="E65" i="7"/>
  <c r="D65" i="7"/>
  <c r="W64" i="7"/>
  <c r="S64" i="7"/>
  <c r="R64" i="7"/>
  <c r="Q64" i="7"/>
  <c r="P64" i="7"/>
  <c r="L64" i="7"/>
  <c r="K64" i="7"/>
  <c r="J64" i="7"/>
  <c r="I64" i="7"/>
  <c r="H64" i="7"/>
  <c r="G64" i="7"/>
  <c r="F64" i="7"/>
  <c r="E64" i="7"/>
  <c r="D64" i="7"/>
  <c r="C64" i="7"/>
  <c r="B64" i="7"/>
  <c r="W63" i="7"/>
  <c r="S63" i="7"/>
  <c r="R63" i="7"/>
  <c r="Q63" i="7"/>
  <c r="P63" i="7"/>
  <c r="L63" i="7"/>
  <c r="K63" i="7"/>
  <c r="J63" i="7"/>
  <c r="I63" i="7"/>
  <c r="H63" i="7"/>
  <c r="G63" i="7"/>
  <c r="F63" i="7"/>
  <c r="E63" i="7"/>
  <c r="D63" i="7"/>
  <c r="C63" i="7"/>
  <c r="B63" i="7"/>
  <c r="B61" i="7"/>
  <c r="A61" i="7"/>
  <c r="W59" i="7"/>
  <c r="S59" i="7"/>
  <c r="R59" i="7"/>
  <c r="M59" i="7"/>
  <c r="I59" i="7"/>
  <c r="D59" i="7"/>
  <c r="Q58" i="7"/>
  <c r="P58" i="7"/>
  <c r="O58" i="7"/>
  <c r="N58" i="7"/>
  <c r="L58" i="7"/>
  <c r="K58" i="7"/>
  <c r="J58" i="7"/>
  <c r="I58" i="7"/>
  <c r="H58" i="7"/>
  <c r="G58" i="7"/>
  <c r="F58" i="7"/>
  <c r="E58" i="7"/>
  <c r="D58" i="7"/>
  <c r="C58" i="7"/>
  <c r="B58" i="7"/>
  <c r="Q57" i="7"/>
  <c r="P57" i="7"/>
  <c r="L57" i="7"/>
  <c r="K57" i="7"/>
  <c r="J57" i="7"/>
  <c r="I57" i="7"/>
  <c r="H57" i="7"/>
  <c r="G57" i="7"/>
  <c r="F57" i="7"/>
  <c r="E57" i="7"/>
  <c r="D57" i="7"/>
  <c r="C57" i="7"/>
  <c r="B57" i="7"/>
  <c r="Q56" i="7"/>
  <c r="P56" i="7"/>
  <c r="L56" i="7"/>
  <c r="K56" i="7"/>
  <c r="J56" i="7"/>
  <c r="I56" i="7"/>
  <c r="F56" i="7"/>
  <c r="E56" i="7"/>
  <c r="D56" i="7"/>
  <c r="W55" i="7"/>
  <c r="S55" i="7"/>
  <c r="R55" i="7"/>
  <c r="Q55" i="7"/>
  <c r="P55" i="7"/>
  <c r="L55" i="7"/>
  <c r="K55" i="7"/>
  <c r="J55" i="7"/>
  <c r="I55" i="7"/>
  <c r="H55" i="7"/>
  <c r="G55" i="7"/>
  <c r="F55" i="7"/>
  <c r="E55" i="7"/>
  <c r="D55" i="7"/>
  <c r="C55" i="7"/>
  <c r="B55" i="7"/>
  <c r="W54" i="7"/>
  <c r="S54" i="7"/>
  <c r="R54" i="7"/>
  <c r="Q54" i="7"/>
  <c r="P54" i="7"/>
  <c r="L54" i="7"/>
  <c r="K54" i="7"/>
  <c r="J54" i="7"/>
  <c r="I54" i="7"/>
  <c r="H54" i="7"/>
  <c r="G54" i="7"/>
  <c r="F54" i="7"/>
  <c r="E54" i="7"/>
  <c r="D54" i="7"/>
  <c r="C54" i="7"/>
  <c r="B54" i="7"/>
  <c r="B52" i="7"/>
  <c r="A52" i="7"/>
  <c r="W50" i="7"/>
  <c r="S50" i="7"/>
  <c r="R50" i="7"/>
  <c r="M50" i="7"/>
  <c r="I50" i="7"/>
  <c r="D50" i="7"/>
  <c r="Q49" i="7"/>
  <c r="P49" i="7"/>
  <c r="O49" i="7"/>
  <c r="N49" i="7"/>
  <c r="L49" i="7"/>
  <c r="K49" i="7"/>
  <c r="J49" i="7"/>
  <c r="I49" i="7"/>
  <c r="H49" i="7"/>
  <c r="G49" i="7"/>
  <c r="F49" i="7"/>
  <c r="E49" i="7"/>
  <c r="D49" i="7"/>
  <c r="C49" i="7"/>
  <c r="B49" i="7"/>
  <c r="Q48" i="7"/>
  <c r="P48" i="7"/>
  <c r="L48" i="7"/>
  <c r="K48" i="7"/>
  <c r="J48" i="7"/>
  <c r="I48" i="7"/>
  <c r="H48" i="7"/>
  <c r="G48" i="7"/>
  <c r="F48" i="7"/>
  <c r="E48" i="7"/>
  <c r="D48" i="7"/>
  <c r="C48" i="7"/>
  <c r="B48" i="7"/>
  <c r="Q47" i="7"/>
  <c r="P47" i="7"/>
  <c r="L47" i="7"/>
  <c r="K47" i="7"/>
  <c r="J47" i="7"/>
  <c r="I47" i="7"/>
  <c r="F47" i="7"/>
  <c r="E47" i="7"/>
  <c r="D47" i="7"/>
  <c r="W46" i="7"/>
  <c r="S46" i="7"/>
  <c r="R46" i="7"/>
  <c r="Q46" i="7"/>
  <c r="P46" i="7"/>
  <c r="L46" i="7"/>
  <c r="K46" i="7"/>
  <c r="J46" i="7"/>
  <c r="I46" i="7"/>
  <c r="H46" i="7"/>
  <c r="G46" i="7"/>
  <c r="F46" i="7"/>
  <c r="E46" i="7"/>
  <c r="D46" i="7"/>
  <c r="C46" i="7"/>
  <c r="B46" i="7"/>
  <c r="W45" i="7"/>
  <c r="S45" i="7"/>
  <c r="R45" i="7"/>
  <c r="Q45" i="7"/>
  <c r="P45" i="7"/>
  <c r="L45" i="7"/>
  <c r="K45" i="7"/>
  <c r="J45" i="7"/>
  <c r="I45" i="7"/>
  <c r="H45" i="7"/>
  <c r="G45" i="7"/>
  <c r="F45" i="7"/>
  <c r="E45" i="7"/>
  <c r="D45" i="7"/>
  <c r="C45" i="7"/>
  <c r="B45" i="7"/>
  <c r="B43" i="7"/>
  <c r="A43" i="7"/>
  <c r="W41" i="7"/>
  <c r="S41" i="7"/>
  <c r="R41" i="7"/>
  <c r="D41" i="7"/>
  <c r="H40" i="7"/>
  <c r="G40" i="7"/>
  <c r="F40" i="7"/>
  <c r="E40" i="7"/>
  <c r="C40" i="7"/>
  <c r="B40" i="7"/>
  <c r="H39" i="7"/>
  <c r="G39" i="7"/>
  <c r="C39" i="7"/>
  <c r="B39" i="7"/>
  <c r="H38" i="7"/>
  <c r="G38" i="7"/>
  <c r="C38" i="7"/>
  <c r="B38" i="7"/>
  <c r="B36" i="7"/>
  <c r="A36" i="7"/>
  <c r="W34" i="7"/>
  <c r="S34" i="7"/>
  <c r="R34" i="7"/>
  <c r="D34" i="7"/>
  <c r="H33" i="7"/>
  <c r="G33" i="7"/>
  <c r="F33" i="7"/>
  <c r="E33" i="7"/>
  <c r="C33" i="7"/>
  <c r="B33" i="7"/>
  <c r="H32" i="7"/>
  <c r="G32" i="7"/>
  <c r="C32" i="7"/>
  <c r="B32" i="7"/>
  <c r="H31" i="7"/>
  <c r="G31" i="7"/>
  <c r="C31" i="7"/>
  <c r="B31" i="7"/>
  <c r="B29" i="7"/>
  <c r="A29" i="7"/>
  <c r="W26" i="7"/>
  <c r="S26" i="7"/>
  <c r="R26" i="7"/>
  <c r="I26" i="7"/>
  <c r="D26" i="7"/>
  <c r="S25" i="7"/>
  <c r="R25" i="7"/>
  <c r="J25" i="7"/>
  <c r="I25" i="7"/>
  <c r="H25" i="7"/>
  <c r="G25" i="7"/>
  <c r="F25" i="7"/>
  <c r="E25" i="7"/>
  <c r="D25" i="7"/>
  <c r="C25" i="7"/>
  <c r="B25" i="7"/>
  <c r="U24" i="7"/>
  <c r="R24" i="7"/>
  <c r="J24" i="7"/>
  <c r="I24" i="7"/>
  <c r="H24" i="7"/>
  <c r="G24" i="7"/>
  <c r="F24" i="7"/>
  <c r="E24" i="7"/>
  <c r="D24" i="7"/>
  <c r="C24" i="7"/>
  <c r="B24" i="7"/>
  <c r="W23" i="7"/>
  <c r="T23" i="7"/>
  <c r="S23" i="7"/>
  <c r="R23" i="7"/>
  <c r="J23" i="7"/>
  <c r="I23" i="7"/>
  <c r="F23" i="7"/>
  <c r="E23" i="7"/>
  <c r="D23" i="7"/>
  <c r="W22" i="7"/>
  <c r="U22" i="7"/>
  <c r="T22" i="7"/>
  <c r="S22" i="7"/>
  <c r="R22" i="7"/>
  <c r="J22" i="7"/>
  <c r="I22" i="7"/>
  <c r="H22" i="7"/>
  <c r="G22" i="7"/>
  <c r="F22" i="7"/>
  <c r="E22" i="7"/>
  <c r="D22" i="7"/>
  <c r="C22" i="7"/>
  <c r="B22" i="7"/>
  <c r="W21" i="7"/>
  <c r="U21" i="7"/>
  <c r="T21" i="7"/>
  <c r="S21" i="7"/>
  <c r="R21" i="7"/>
  <c r="J21" i="7"/>
  <c r="I21" i="7"/>
  <c r="H21" i="7"/>
  <c r="G21" i="7"/>
  <c r="F21" i="7"/>
  <c r="E21" i="7"/>
  <c r="D21" i="7"/>
  <c r="C21" i="7"/>
  <c r="B21" i="7"/>
  <c r="B19" i="7"/>
  <c r="A19" i="7"/>
  <c r="W17" i="7"/>
  <c r="S17" i="7"/>
  <c r="R17" i="7"/>
  <c r="I17" i="7"/>
  <c r="D17" i="7"/>
  <c r="S16" i="7"/>
  <c r="R16" i="7"/>
  <c r="J16" i="7"/>
  <c r="I16" i="7"/>
  <c r="H16" i="7"/>
  <c r="G16" i="7"/>
  <c r="F16" i="7"/>
  <c r="E16" i="7"/>
  <c r="D16" i="7"/>
  <c r="C16" i="7"/>
  <c r="B16" i="7"/>
  <c r="U15" i="7"/>
  <c r="R15" i="7"/>
  <c r="J15" i="7"/>
  <c r="I15" i="7"/>
  <c r="H15" i="7"/>
  <c r="G15" i="7"/>
  <c r="F15" i="7"/>
  <c r="E15" i="7"/>
  <c r="D15" i="7"/>
  <c r="C15" i="7"/>
  <c r="B15" i="7"/>
  <c r="W14" i="7"/>
  <c r="T14" i="7"/>
  <c r="S14" i="7"/>
  <c r="R14" i="7"/>
  <c r="J14" i="7"/>
  <c r="I14" i="7"/>
  <c r="F14" i="7"/>
  <c r="E14" i="7"/>
  <c r="D14" i="7"/>
  <c r="W13" i="7"/>
  <c r="U13" i="7"/>
  <c r="T13" i="7"/>
  <c r="S13" i="7"/>
  <c r="R13" i="7"/>
  <c r="J13" i="7"/>
  <c r="I13" i="7"/>
  <c r="H13" i="7"/>
  <c r="G13" i="7"/>
  <c r="F13" i="7"/>
  <c r="E13" i="7"/>
  <c r="D13" i="7"/>
  <c r="C13" i="7"/>
  <c r="B13" i="7"/>
  <c r="W12" i="7"/>
  <c r="U12" i="7"/>
  <c r="T12" i="7"/>
  <c r="S12" i="7"/>
  <c r="R12" i="7"/>
  <c r="J12" i="7"/>
  <c r="I12" i="7"/>
  <c r="H12" i="7"/>
  <c r="G12" i="7"/>
  <c r="F12" i="7"/>
  <c r="E12" i="7"/>
  <c r="D12" i="7"/>
  <c r="C12" i="7"/>
  <c r="B12" i="7"/>
  <c r="B9" i="7"/>
  <c r="A9" i="7"/>
  <c r="D10" i="6"/>
  <c r="C10" i="6"/>
  <c r="B10" i="6"/>
  <c r="C9" i="6"/>
  <c r="B9" i="6"/>
  <c r="C8" i="6"/>
  <c r="B8" i="6"/>
  <c r="I7" i="6"/>
  <c r="F7" i="6"/>
  <c r="I16" i="5"/>
  <c r="H16" i="5"/>
  <c r="G16" i="5"/>
  <c r="I15" i="5"/>
  <c r="H15" i="5"/>
  <c r="G15" i="5"/>
  <c r="I14" i="5"/>
  <c r="H14" i="5"/>
  <c r="G14" i="5"/>
  <c r="M13" i="5"/>
  <c r="I13" i="5"/>
  <c r="H13" i="5"/>
  <c r="G13" i="5"/>
  <c r="M12" i="5"/>
  <c r="I12" i="5"/>
  <c r="H12" i="5"/>
  <c r="G12" i="5"/>
  <c r="M11" i="5"/>
  <c r="I11" i="5"/>
  <c r="H11" i="5"/>
  <c r="G11" i="5"/>
  <c r="M10" i="5"/>
  <c r="I10" i="5"/>
  <c r="H10" i="5"/>
  <c r="G10" i="5"/>
  <c r="R9" i="5"/>
  <c r="M9" i="5"/>
  <c r="I9" i="5"/>
  <c r="H9" i="5"/>
  <c r="G9" i="5"/>
  <c r="R8" i="5"/>
  <c r="M8" i="5"/>
  <c r="I8" i="5"/>
  <c r="H8" i="5"/>
  <c r="G8" i="5"/>
  <c r="U7" i="5"/>
  <c r="R7" i="5"/>
  <c r="M7" i="5"/>
  <c r="I7" i="5"/>
  <c r="H7" i="5"/>
  <c r="G7" i="5"/>
  <c r="U6" i="5"/>
  <c r="S6" i="5"/>
  <c r="R6" i="5"/>
  <c r="Q6" i="5"/>
  <c r="P6" i="5"/>
  <c r="N6" i="5"/>
  <c r="M6" i="5"/>
  <c r="L6" i="5"/>
  <c r="K6" i="5"/>
  <c r="I6" i="5"/>
  <c r="H6" i="5"/>
  <c r="G6" i="5"/>
  <c r="F6" i="5"/>
  <c r="E6" i="5"/>
  <c r="D6" i="5"/>
  <c r="B6" i="5"/>
  <c r="C98" i="4"/>
  <c r="C97" i="4"/>
  <c r="C96" i="4"/>
  <c r="C95" i="4"/>
  <c r="C94" i="4"/>
  <c r="B94" i="4"/>
  <c r="C92" i="4"/>
  <c r="C91" i="4"/>
  <c r="C90" i="4"/>
  <c r="C89" i="4"/>
  <c r="C88" i="4"/>
  <c r="B88" i="4"/>
  <c r="C86" i="4"/>
  <c r="C85" i="4"/>
  <c r="C84" i="4"/>
  <c r="C83" i="4"/>
  <c r="C82" i="4"/>
  <c r="B82" i="4"/>
  <c r="B79" i="4"/>
  <c r="B78" i="4"/>
  <c r="B77" i="4"/>
  <c r="C70" i="4"/>
  <c r="C69" i="4"/>
  <c r="C68" i="4"/>
  <c r="C67" i="4"/>
  <c r="C65" i="4"/>
  <c r="C64" i="4"/>
  <c r="C63" i="4"/>
  <c r="C62" i="4"/>
  <c r="C61" i="4"/>
  <c r="C59" i="4"/>
  <c r="C58" i="4"/>
  <c r="B58" i="4"/>
  <c r="C56" i="4"/>
  <c r="C55" i="4"/>
  <c r="C54" i="4"/>
  <c r="C53" i="4"/>
  <c r="C51" i="4"/>
  <c r="C50" i="4"/>
  <c r="C49" i="4"/>
  <c r="C48" i="4"/>
  <c r="C47" i="4"/>
  <c r="C45" i="4"/>
  <c r="C44" i="4"/>
  <c r="B44" i="4"/>
  <c r="C42" i="4"/>
  <c r="C41" i="4"/>
  <c r="C40" i="4"/>
  <c r="C39" i="4"/>
  <c r="C37" i="4"/>
  <c r="C36" i="4"/>
  <c r="C35" i="4"/>
  <c r="C34" i="4"/>
  <c r="C33" i="4"/>
  <c r="C31" i="4"/>
  <c r="C30" i="4"/>
  <c r="B30" i="4"/>
  <c r="N26" i="4"/>
  <c r="M26" i="4"/>
  <c r="J26" i="4"/>
  <c r="F26" i="4"/>
  <c r="N25" i="4"/>
  <c r="M25" i="4"/>
  <c r="J25" i="4"/>
  <c r="F25" i="4"/>
  <c r="N24" i="4"/>
  <c r="M24" i="4"/>
  <c r="J24" i="4"/>
  <c r="F24" i="4"/>
  <c r="L22" i="4"/>
  <c r="F22" i="4"/>
  <c r="M18" i="4"/>
  <c r="L18" i="4"/>
  <c r="C14" i="4"/>
  <c r="C13" i="4"/>
  <c r="C12" i="4"/>
  <c r="C11" i="4"/>
  <c r="B11" i="4"/>
  <c r="C9" i="4"/>
  <c r="C8" i="4"/>
  <c r="C7" i="4"/>
  <c r="C6" i="4"/>
  <c r="C5" i="4"/>
  <c r="B5" i="4"/>
  <c r="C3" i="4"/>
  <c r="F2" i="4"/>
  <c r="C2" i="4"/>
  <c r="B2" i="4"/>
  <c r="F26" i="3"/>
  <c r="F25" i="3"/>
  <c r="F24" i="3"/>
  <c r="F23" i="3"/>
  <c r="F17" i="3"/>
  <c r="B17" i="3"/>
  <c r="F16" i="3"/>
  <c r="B16" i="3"/>
  <c r="F15" i="3"/>
  <c r="B15" i="3"/>
  <c r="Q13" i="3"/>
  <c r="P13" i="3"/>
  <c r="O13" i="3"/>
  <c r="L13" i="3"/>
  <c r="C13" i="3"/>
  <c r="Q12" i="3"/>
  <c r="P12" i="3"/>
  <c r="O12" i="3"/>
  <c r="L12" i="3"/>
  <c r="C12" i="3"/>
  <c r="Q11" i="3"/>
  <c r="P11" i="3"/>
  <c r="O11" i="3"/>
  <c r="L11" i="3"/>
  <c r="C11" i="3"/>
  <c r="Q10" i="3"/>
  <c r="P10" i="3"/>
  <c r="O10" i="3"/>
  <c r="L10" i="3"/>
  <c r="C10" i="3"/>
  <c r="Q9" i="3"/>
  <c r="P9" i="3"/>
  <c r="O9" i="3"/>
  <c r="L9" i="3"/>
  <c r="C9" i="3"/>
  <c r="Q8" i="3"/>
  <c r="P8" i="3"/>
  <c r="O8" i="3"/>
  <c r="L8" i="3"/>
  <c r="C8" i="3"/>
  <c r="Q7" i="3"/>
  <c r="P7" i="3"/>
  <c r="O7" i="3"/>
  <c r="L7" i="3"/>
  <c r="C7" i="3"/>
  <c r="Q6" i="3"/>
  <c r="P6" i="3"/>
  <c r="O6" i="3"/>
  <c r="L6" i="3"/>
  <c r="C6" i="3"/>
  <c r="Q5" i="3"/>
  <c r="P5" i="3"/>
  <c r="O5" i="3"/>
  <c r="L5" i="3"/>
  <c r="C5" i="3"/>
  <c r="Q4" i="3"/>
  <c r="P4" i="3"/>
  <c r="O4" i="3"/>
  <c r="L4" i="3"/>
  <c r="C4" i="3"/>
  <c r="Q3" i="3"/>
  <c r="P3" i="3"/>
  <c r="O3" i="3"/>
  <c r="L3" i="3"/>
  <c r="C3" i="3"/>
  <c r="C34" i="2"/>
  <c r="B34" i="2"/>
  <c r="A34" i="2"/>
  <c r="C33" i="2"/>
  <c r="B33" i="2"/>
  <c r="A33" i="2"/>
  <c r="C32" i="2"/>
  <c r="B32" i="2"/>
  <c r="A32" i="2"/>
  <c r="B27" i="2"/>
  <c r="B26" i="2"/>
  <c r="C25" i="2"/>
  <c r="A24" i="2"/>
  <c r="B20" i="2"/>
  <c r="B19" i="2"/>
  <c r="C18" i="2"/>
  <c r="B18" i="2"/>
  <c r="A17" i="2"/>
  <c r="B13" i="2"/>
  <c r="B12" i="2"/>
  <c r="C11" i="2"/>
  <c r="A10" i="2"/>
  <c r="B8" i="2"/>
  <c r="A8" i="2"/>
  <c r="A7" i="2"/>
  <c r="B6" i="2"/>
  <c r="A6" i="2"/>
  <c r="R151" i="8"/>
  <c r="X64" i="8"/>
  <c r="R163" i="8"/>
  <c r="V157" i="8"/>
  <c r="X28" i="8"/>
  <c r="V64" i="8"/>
  <c r="R28" i="8"/>
  <c r="R22" i="8"/>
  <c r="R70" i="8"/>
  <c r="P64" i="8"/>
  <c r="X151" i="8"/>
  <c r="P157" i="8"/>
  <c r="V76" i="8"/>
  <c r="G7" i="6"/>
  <c r="X163" i="8"/>
  <c r="P76" i="8"/>
  <c r="P163" i="8"/>
  <c r="V151" i="8"/>
  <c r="V70" i="8"/>
  <c r="V163" i="8"/>
  <c r="X58" i="8"/>
  <c r="V52" i="8"/>
  <c r="P151" i="8"/>
  <c r="X76" i="8"/>
  <c r="R52" i="8"/>
  <c r="V169" i="8"/>
  <c r="X70" i="8"/>
  <c r="P28" i="8"/>
  <c r="V58" i="8"/>
  <c r="P52" i="8"/>
  <c r="V28" i="8"/>
  <c r="P58" i="8"/>
  <c r="C7" i="6"/>
  <c r="X22" i="8"/>
  <c r="R157" i="8"/>
  <c r="R76" i="8"/>
  <c r="P22" i="8"/>
  <c r="R169" i="8"/>
  <c r="P169" i="8"/>
  <c r="R58" i="8"/>
  <c r="X157" i="8"/>
  <c r="V22" i="8"/>
  <c r="R64" i="8"/>
  <c r="P70" i="8"/>
  <c r="X52" i="8"/>
  <c r="H7" i="6"/>
  <c r="X169" i="8"/>
  <c r="O37" i="8" l="1"/>
  <c r="O36" i="8"/>
  <c r="S36" i="8" s="1"/>
  <c r="O38" i="8"/>
  <c r="Q38" i="8" s="1"/>
  <c r="O42" i="8"/>
  <c r="O195" i="8"/>
  <c r="Q195" i="8" s="1"/>
  <c r="O183" i="8"/>
  <c r="Q183" i="8" s="1"/>
  <c r="O189" i="8"/>
  <c r="T42" i="8"/>
  <c r="S42" i="8"/>
  <c r="Q42" i="8"/>
  <c r="Q78" i="8"/>
  <c r="T78" i="8"/>
  <c r="Y159" i="8"/>
  <c r="Z159" i="8"/>
  <c r="W159" i="8"/>
  <c r="T195" i="8"/>
  <c r="Q37" i="8"/>
  <c r="T37" i="8"/>
  <c r="S37" i="8"/>
  <c r="Y171" i="8"/>
  <c r="S43" i="8"/>
  <c r="W54" i="8"/>
  <c r="Z54" i="8"/>
  <c r="Y54" i="8"/>
  <c r="T159" i="8"/>
  <c r="S159" i="8"/>
  <c r="Q159" i="8"/>
  <c r="U164" i="8"/>
  <c r="T164" i="8"/>
  <c r="S164" i="8"/>
  <c r="Q164" i="8"/>
  <c r="T58" i="8"/>
  <c r="U58" i="8"/>
  <c r="S58" i="8"/>
  <c r="Q58" i="8"/>
  <c r="T44" i="8"/>
  <c r="S44" i="8"/>
  <c r="Q44" i="8"/>
  <c r="Q43" i="8"/>
  <c r="T43" i="8"/>
  <c r="U169" i="8"/>
  <c r="T169" i="8"/>
  <c r="S169" i="8"/>
  <c r="Q169" i="8"/>
  <c r="T183" i="8"/>
  <c r="U59" i="8"/>
  <c r="T59" i="8"/>
  <c r="S59" i="8"/>
  <c r="Q59" i="8"/>
  <c r="Z72" i="8"/>
  <c r="Y72" i="8"/>
  <c r="W72" i="8"/>
  <c r="Q165" i="8"/>
  <c r="T165" i="8"/>
  <c r="T72" i="8"/>
  <c r="S72" i="8"/>
  <c r="Q72" i="8"/>
  <c r="U77" i="8"/>
  <c r="T77" i="8"/>
  <c r="S77" i="8"/>
  <c r="Q77" i="8"/>
  <c r="Q170" i="8"/>
  <c r="T170" i="8"/>
  <c r="U170" i="8"/>
  <c r="Y170" i="8" s="1"/>
  <c r="S53" i="8"/>
  <c r="T53" i="8"/>
  <c r="U53" i="8"/>
  <c r="Q53" i="8"/>
  <c r="S189" i="8"/>
  <c r="T189" i="8"/>
  <c r="Q189" i="8"/>
  <c r="N47" i="10"/>
  <c r="C54" i="10"/>
  <c r="O66" i="8"/>
  <c r="O71" i="8"/>
  <c r="O76" i="8"/>
  <c r="S78" i="8"/>
  <c r="O153" i="8"/>
  <c r="O158" i="8"/>
  <c r="O163" i="8"/>
  <c r="S165" i="8"/>
  <c r="S170" i="8"/>
  <c r="S195" i="8"/>
  <c r="Q171" i="8"/>
  <c r="Q177" i="8"/>
  <c r="B52" i="10"/>
  <c r="W78" i="8"/>
  <c r="W165" i="8"/>
  <c r="S171" i="8"/>
  <c r="S177" i="8"/>
  <c r="B49" i="10"/>
  <c r="Q54" i="8"/>
  <c r="Y60" i="8"/>
  <c r="U24" i="8"/>
  <c r="Z24" i="8" s="1"/>
  <c r="O52" i="8"/>
  <c r="S54" i="8"/>
  <c r="Z60" i="8"/>
  <c r="U66" i="8"/>
  <c r="Y66" i="8" s="1"/>
  <c r="Y78" i="8"/>
  <c r="O116" i="8"/>
  <c r="T116" i="8" s="1"/>
  <c r="U153" i="8"/>
  <c r="Y165" i="8"/>
  <c r="B48" i="10"/>
  <c r="O64" i="8"/>
  <c r="O151" i="8"/>
  <c r="O60" i="8"/>
  <c r="O65" i="8"/>
  <c r="O70" i="8"/>
  <c r="O152" i="8"/>
  <c r="S152" i="8" s="1"/>
  <c r="O157" i="8"/>
  <c r="U171" i="8"/>
  <c r="T38" i="8"/>
  <c r="S52" i="8"/>
  <c r="B46" i="10"/>
  <c r="O29" i="8"/>
  <c r="Q29" i="8" s="1"/>
  <c r="S117" i="8"/>
  <c r="O129" i="8"/>
  <c r="S129" i="8" s="1"/>
  <c r="O134" i="8"/>
  <c r="Q130" i="8"/>
  <c r="O117" i="8"/>
  <c r="T117" i="8" s="1"/>
  <c r="O123" i="8"/>
  <c r="S123" i="8" s="1"/>
  <c r="S135" i="8"/>
  <c r="S122" i="8"/>
  <c r="S130" i="8"/>
  <c r="O135" i="8"/>
  <c r="O142" i="8"/>
  <c r="O122" i="8"/>
  <c r="T134" i="8"/>
  <c r="S134" i="8"/>
  <c r="Q134" i="8"/>
  <c r="S136" i="8"/>
  <c r="T136" i="8"/>
  <c r="Q136" i="8"/>
  <c r="Q135" i="8"/>
  <c r="T135" i="8"/>
  <c r="Q142" i="8"/>
  <c r="T142" i="8"/>
  <c r="Q122" i="8"/>
  <c r="T122" i="8"/>
  <c r="S142" i="8"/>
  <c r="O118" i="8"/>
  <c r="Q124" i="8"/>
  <c r="O140" i="8"/>
  <c r="S140" i="8" s="1"/>
  <c r="S124" i="8"/>
  <c r="O128" i="8"/>
  <c r="S128" i="8" s="1"/>
  <c r="O141" i="8"/>
  <c r="S141" i="8" s="1"/>
  <c r="O22" i="8"/>
  <c r="S24" i="8"/>
  <c r="T24" i="8"/>
  <c r="O23" i="8"/>
  <c r="S23" i="8" s="1"/>
  <c r="W24" i="8"/>
  <c r="O28" i="8"/>
  <c r="S28" i="8" s="1"/>
  <c r="O30" i="8"/>
  <c r="S30" i="8" s="1"/>
  <c r="U30" i="8"/>
  <c r="Y30" i="8" s="1"/>
  <c r="E104" i="7"/>
  <c r="E105" i="7" s="1"/>
  <c r="C25" i="10" s="1"/>
  <c r="N73" i="7"/>
  <c r="N45" i="7"/>
  <c r="N63" i="7"/>
  <c r="E97" i="7"/>
  <c r="E98" i="7" s="1"/>
  <c r="C24" i="10" s="1"/>
  <c r="N83" i="7"/>
  <c r="N84" i="7" s="1"/>
  <c r="H20" i="10" s="1"/>
  <c r="N56" i="7"/>
  <c r="N57" i="7" s="1"/>
  <c r="H17" i="10" s="1"/>
  <c r="E174" i="7"/>
  <c r="E175" i="7" s="1"/>
  <c r="C39" i="10" s="1"/>
  <c r="E90" i="7"/>
  <c r="E91" i="7" s="1"/>
  <c r="C23" i="10" s="1"/>
  <c r="N82" i="7"/>
  <c r="N54" i="7"/>
  <c r="N47" i="7"/>
  <c r="N48" i="7" s="1"/>
  <c r="H16" i="10" s="1"/>
  <c r="E38" i="7"/>
  <c r="E39" i="7" s="1"/>
  <c r="C13" i="10" s="1"/>
  <c r="E167" i="7"/>
  <c r="E168" i="7" s="1"/>
  <c r="C38" i="10" s="1"/>
  <c r="N46" i="7"/>
  <c r="E31" i="7"/>
  <c r="E32" i="7" s="1"/>
  <c r="C12" i="10" s="1"/>
  <c r="E160" i="7"/>
  <c r="E161" i="7" s="1"/>
  <c r="C37" i="10" s="1"/>
  <c r="E153" i="7"/>
  <c r="E154" i="7" s="1"/>
  <c r="C36" i="10" s="1"/>
  <c r="N72" i="7"/>
  <c r="N65" i="7"/>
  <c r="N66" i="7" s="1"/>
  <c r="H18" i="10" s="1"/>
  <c r="N55" i="7"/>
  <c r="N64" i="7"/>
  <c r="E118" i="7"/>
  <c r="E119" i="7" s="1"/>
  <c r="C27" i="10" s="1"/>
  <c r="E111" i="7"/>
  <c r="E112" i="7" s="1"/>
  <c r="C26" i="10" s="1"/>
  <c r="N81" i="7"/>
  <c r="N74" i="7"/>
  <c r="N75" i="7" s="1"/>
  <c r="H19" i="10" s="1"/>
  <c r="F97" i="7"/>
  <c r="F98" i="7" s="1"/>
  <c r="D24" i="10" s="1"/>
  <c r="O83" i="7"/>
  <c r="O84" i="7" s="1"/>
  <c r="I20" i="10" s="1"/>
  <c r="F38" i="7"/>
  <c r="F39" i="7" s="1"/>
  <c r="D13" i="10" s="1"/>
  <c r="F174" i="7"/>
  <c r="F175" i="7" s="1"/>
  <c r="D39" i="10" s="1"/>
  <c r="F90" i="7"/>
  <c r="F91" i="7" s="1"/>
  <c r="D23" i="10" s="1"/>
  <c r="O82" i="7"/>
  <c r="O54" i="7"/>
  <c r="O47" i="7"/>
  <c r="O48" i="7" s="1"/>
  <c r="I16" i="10" s="1"/>
  <c r="O65" i="7"/>
  <c r="O66" i="7" s="1"/>
  <c r="I18" i="10" s="1"/>
  <c r="F167" i="7"/>
  <c r="F168" i="7" s="1"/>
  <c r="D38" i="10" s="1"/>
  <c r="O46" i="7"/>
  <c r="F31" i="7"/>
  <c r="F32" i="7" s="1"/>
  <c r="D12" i="10" s="1"/>
  <c r="F153" i="7"/>
  <c r="F154" i="7" s="1"/>
  <c r="D36" i="10" s="1"/>
  <c r="O55" i="7"/>
  <c r="F160" i="7"/>
  <c r="F161" i="7" s="1"/>
  <c r="D37" i="10" s="1"/>
  <c r="O63" i="7"/>
  <c r="O56" i="7"/>
  <c r="O57" i="7" s="1"/>
  <c r="I17" i="10" s="1"/>
  <c r="O72" i="7"/>
  <c r="F118" i="7"/>
  <c r="F119" i="7" s="1"/>
  <c r="D27" i="10" s="1"/>
  <c r="O73" i="7"/>
  <c r="O45" i="7"/>
  <c r="F111" i="7"/>
  <c r="F112" i="7" s="1"/>
  <c r="D26" i="10" s="1"/>
  <c r="O81" i="7"/>
  <c r="O74" i="7"/>
  <c r="O75" i="7" s="1"/>
  <c r="I19" i="10" s="1"/>
  <c r="O64" i="7"/>
  <c r="F104" i="7"/>
  <c r="F105" i="7" s="1"/>
  <c r="D25" i="10" s="1"/>
  <c r="D111" i="7"/>
  <c r="D99" i="7"/>
  <c r="R99" i="7" s="1"/>
  <c r="S99" i="7" s="1"/>
  <c r="M81" i="7"/>
  <c r="M74" i="7"/>
  <c r="M67" i="7"/>
  <c r="R67" i="7" s="1"/>
  <c r="S67" i="7" s="1"/>
  <c r="M64" i="7"/>
  <c r="M85" i="7"/>
  <c r="R85" i="7" s="1"/>
  <c r="S85" i="7" s="1"/>
  <c r="M46" i="7"/>
  <c r="D176" i="7"/>
  <c r="R176" i="7" s="1"/>
  <c r="S176" i="7" s="1"/>
  <c r="D104" i="7"/>
  <c r="D92" i="7"/>
  <c r="R92" i="7" s="1"/>
  <c r="S92" i="7" s="1"/>
  <c r="M73" i="7"/>
  <c r="M45" i="7"/>
  <c r="D40" i="7"/>
  <c r="R40" i="7" s="1"/>
  <c r="S40" i="7" s="1"/>
  <c r="D155" i="7"/>
  <c r="R155" i="7" s="1"/>
  <c r="S155" i="7" s="1"/>
  <c r="D31" i="7"/>
  <c r="D169" i="7"/>
  <c r="R169" i="7" s="1"/>
  <c r="S169" i="7" s="1"/>
  <c r="D97" i="7"/>
  <c r="M83" i="7"/>
  <c r="M76" i="7"/>
  <c r="R76" i="7" s="1"/>
  <c r="S76" i="7" s="1"/>
  <c r="D33" i="7"/>
  <c r="R33" i="7" s="1"/>
  <c r="S33" i="7" s="1"/>
  <c r="D167" i="7"/>
  <c r="D174" i="7"/>
  <c r="D162" i="7"/>
  <c r="R162" i="7" s="1"/>
  <c r="S162" i="7" s="1"/>
  <c r="D90" i="7"/>
  <c r="M82" i="7"/>
  <c r="M54" i="7"/>
  <c r="M47" i="7"/>
  <c r="D38" i="7"/>
  <c r="D160" i="7"/>
  <c r="D120" i="7"/>
  <c r="R120" i="7" s="1"/>
  <c r="S120" i="7" s="1"/>
  <c r="M63" i="7"/>
  <c r="M56" i="7"/>
  <c r="M49" i="7"/>
  <c r="R49" i="7" s="1"/>
  <c r="S49" i="7" s="1"/>
  <c r="D106" i="7"/>
  <c r="R106" i="7" s="1"/>
  <c r="S106" i="7" s="1"/>
  <c r="D153" i="7"/>
  <c r="D113" i="7"/>
  <c r="R113" i="7" s="1"/>
  <c r="S113" i="7" s="1"/>
  <c r="M72" i="7"/>
  <c r="M65" i="7"/>
  <c r="M55" i="7"/>
  <c r="D118" i="7"/>
  <c r="M58" i="7"/>
  <c r="R58" i="7" s="1"/>
  <c r="S58" i="7" s="1"/>
  <c r="T36" i="8" l="1"/>
  <c r="Q36" i="8"/>
  <c r="S38" i="8"/>
  <c r="T29" i="8"/>
  <c r="S183" i="8"/>
  <c r="T129" i="8"/>
  <c r="Q116" i="8"/>
  <c r="W171" i="8"/>
  <c r="Z171" i="8"/>
  <c r="Z58" i="8"/>
  <c r="Y58" i="8"/>
  <c r="W58" i="8"/>
  <c r="O46" i="10"/>
  <c r="S29" i="8"/>
  <c r="U151" i="8"/>
  <c r="T151" i="8"/>
  <c r="S151" i="8"/>
  <c r="Q151" i="8"/>
  <c r="U158" i="8"/>
  <c r="T158" i="8"/>
  <c r="S158" i="8"/>
  <c r="Q158" i="8"/>
  <c r="Q123" i="8"/>
  <c r="Q157" i="8"/>
  <c r="U157" i="8"/>
  <c r="T157" i="8"/>
  <c r="U76" i="8"/>
  <c r="T76" i="8"/>
  <c r="S76" i="8"/>
  <c r="Q76" i="8"/>
  <c r="Z53" i="8"/>
  <c r="Y53" i="8"/>
  <c r="W53" i="8"/>
  <c r="Q152" i="8"/>
  <c r="T152" i="8"/>
  <c r="U152" i="8"/>
  <c r="T52" i="8"/>
  <c r="Q52" i="8"/>
  <c r="U52" i="8"/>
  <c r="U71" i="8"/>
  <c r="T71" i="8"/>
  <c r="S71" i="8"/>
  <c r="Q71" i="8"/>
  <c r="Z77" i="8"/>
  <c r="Y77" i="8"/>
  <c r="W77" i="8"/>
  <c r="U29" i="8"/>
  <c r="Y29" i="8" s="1"/>
  <c r="Q70" i="8"/>
  <c r="U70" i="8"/>
  <c r="T70" i="8"/>
  <c r="Q66" i="8"/>
  <c r="T66" i="8"/>
  <c r="S66" i="8"/>
  <c r="Q65" i="8"/>
  <c r="U65" i="8"/>
  <c r="T65" i="8"/>
  <c r="Z153" i="8"/>
  <c r="W153" i="8"/>
  <c r="Z170" i="8"/>
  <c r="W170" i="8"/>
  <c r="Q60" i="8"/>
  <c r="T60" i="8"/>
  <c r="Q163" i="8"/>
  <c r="U163" i="8"/>
  <c r="T163" i="8"/>
  <c r="S163" i="8"/>
  <c r="Y24" i="8"/>
  <c r="Y153" i="8"/>
  <c r="Z164" i="8"/>
  <c r="Y164" i="8"/>
  <c r="W164" i="8"/>
  <c r="S60" i="8"/>
  <c r="Y169" i="8"/>
  <c r="O54" i="10"/>
  <c r="Z169" i="8"/>
  <c r="W169" i="8"/>
  <c r="S70" i="8"/>
  <c r="S116" i="8"/>
  <c r="U64" i="8"/>
  <c r="T64" i="8"/>
  <c r="S64" i="8"/>
  <c r="Q64" i="8"/>
  <c r="Z66" i="8"/>
  <c r="W66" i="8"/>
  <c r="Q153" i="8"/>
  <c r="T153" i="8"/>
  <c r="S153" i="8"/>
  <c r="S65" i="8"/>
  <c r="W59" i="8"/>
  <c r="Z59" i="8"/>
  <c r="Y59" i="8"/>
  <c r="S157" i="8"/>
  <c r="Q129" i="8"/>
  <c r="T123" i="8"/>
  <c r="Q117" i="8"/>
  <c r="T140" i="8"/>
  <c r="Q140" i="8"/>
  <c r="T128" i="8"/>
  <c r="Q128" i="8"/>
  <c r="T118" i="8"/>
  <c r="Q118" i="8"/>
  <c r="T141" i="8"/>
  <c r="Q141" i="8"/>
  <c r="S118" i="8"/>
  <c r="T46" i="7"/>
  <c r="U46" i="7" s="1"/>
  <c r="T30" i="8"/>
  <c r="Q30" i="8"/>
  <c r="U28" i="8"/>
  <c r="Q28" i="8"/>
  <c r="T28" i="8"/>
  <c r="T45" i="7"/>
  <c r="U45" i="7" s="1"/>
  <c r="U22" i="8"/>
  <c r="Q22" i="8"/>
  <c r="T22" i="8"/>
  <c r="S22" i="8"/>
  <c r="T72" i="7"/>
  <c r="U72" i="7" s="1"/>
  <c r="T64" i="7"/>
  <c r="U64" i="7" s="1"/>
  <c r="C15" i="2"/>
  <c r="U23" i="8"/>
  <c r="Q23" i="8"/>
  <c r="T23" i="8"/>
  <c r="Z29" i="8"/>
  <c r="W29" i="8"/>
  <c r="W30" i="8"/>
  <c r="Z30" i="8"/>
  <c r="T73" i="7"/>
  <c r="U73" i="7" s="1"/>
  <c r="C14" i="11"/>
  <c r="D154" i="7"/>
  <c r="R153" i="7"/>
  <c r="T74" i="7"/>
  <c r="U75" i="7" s="1"/>
  <c r="R74" i="7"/>
  <c r="M75" i="7"/>
  <c r="T54" i="7"/>
  <c r="U54" i="7" s="1"/>
  <c r="T83" i="7"/>
  <c r="U84" i="7" s="1"/>
  <c r="R83" i="7"/>
  <c r="M84" i="7"/>
  <c r="C15" i="11"/>
  <c r="T81" i="7"/>
  <c r="U81" i="7" s="1"/>
  <c r="R160" i="7"/>
  <c r="D161" i="7"/>
  <c r="B15" i="11"/>
  <c r="T82" i="7"/>
  <c r="U82" i="7" s="1"/>
  <c r="D98" i="7"/>
  <c r="R97" i="7"/>
  <c r="R104" i="7"/>
  <c r="D105" i="7"/>
  <c r="D39" i="7"/>
  <c r="R38" i="7"/>
  <c r="R118" i="7"/>
  <c r="D119" i="7"/>
  <c r="R56" i="7"/>
  <c r="M57" i="7"/>
  <c r="T56" i="7"/>
  <c r="U57" i="7" s="1"/>
  <c r="D91" i="7"/>
  <c r="R90" i="7"/>
  <c r="R111" i="7"/>
  <c r="D112" i="7"/>
  <c r="T47" i="7"/>
  <c r="U48" i="7" s="1"/>
  <c r="M48" i="7"/>
  <c r="R47" i="7"/>
  <c r="B22" i="2"/>
  <c r="T55" i="7"/>
  <c r="U55" i="7" s="1"/>
  <c r="T63" i="7"/>
  <c r="U63" i="7" s="1"/>
  <c r="D32" i="7"/>
  <c r="R31" i="7"/>
  <c r="R65" i="7"/>
  <c r="M66" i="7"/>
  <c r="T65" i="7"/>
  <c r="U66" i="7" s="1"/>
  <c r="D175" i="7"/>
  <c r="R174" i="7"/>
  <c r="C16" i="11"/>
  <c r="C29" i="2"/>
  <c r="D168" i="7"/>
  <c r="R167" i="7"/>
  <c r="C22" i="2"/>
  <c r="Z152" i="8" l="1"/>
  <c r="W152" i="8"/>
  <c r="Y152" i="8"/>
  <c r="Z76" i="8"/>
  <c r="W76" i="8"/>
  <c r="O49" i="10"/>
  <c r="Y76" i="8"/>
  <c r="Z158" i="8"/>
  <c r="W158" i="8"/>
  <c r="Y158" i="8"/>
  <c r="W70" i="8"/>
  <c r="Z70" i="8"/>
  <c r="O48" i="10"/>
  <c r="Y70" i="8"/>
  <c r="O52" i="10"/>
  <c r="W157" i="8"/>
  <c r="Z157" i="8"/>
  <c r="Y157" i="8"/>
  <c r="Z163" i="8"/>
  <c r="O53" i="10"/>
  <c r="W163" i="8"/>
  <c r="Y163" i="8"/>
  <c r="Z71" i="8"/>
  <c r="W71" i="8"/>
  <c r="Y71" i="8"/>
  <c r="W64" i="8"/>
  <c r="Z64" i="8"/>
  <c r="O47" i="10"/>
  <c r="Y64" i="8"/>
  <c r="W65" i="8"/>
  <c r="Z65" i="8"/>
  <c r="Y65" i="8"/>
  <c r="W52" i="8"/>
  <c r="O45" i="10"/>
  <c r="Z52" i="8"/>
  <c r="Y52" i="8"/>
  <c r="W151" i="8"/>
  <c r="O51" i="10"/>
  <c r="Y151" i="8"/>
  <c r="Z151" i="8"/>
  <c r="Y23" i="8"/>
  <c r="Z23" i="8"/>
  <c r="W23" i="8"/>
  <c r="O43" i="10"/>
  <c r="Y28" i="8"/>
  <c r="Z28" i="8"/>
  <c r="W28" i="8"/>
  <c r="Z22" i="8"/>
  <c r="O42" i="10"/>
  <c r="W22" i="8"/>
  <c r="Y22" i="8"/>
  <c r="B12" i="10"/>
  <c r="R32" i="7"/>
  <c r="W111" i="7"/>
  <c r="S111" i="7"/>
  <c r="W38" i="7"/>
  <c r="S38" i="7"/>
  <c r="B37" i="10"/>
  <c r="R161" i="7"/>
  <c r="G19" i="10"/>
  <c r="R75" i="7"/>
  <c r="W167" i="7"/>
  <c r="S167" i="7"/>
  <c r="W74" i="7"/>
  <c r="S74" i="7"/>
  <c r="W31" i="7"/>
  <c r="S31" i="7"/>
  <c r="W118" i="7"/>
  <c r="S118" i="7"/>
  <c r="B9" i="11"/>
  <c r="B38" i="10"/>
  <c r="R168" i="7"/>
  <c r="W90" i="7"/>
  <c r="S90" i="7"/>
  <c r="W160" i="7"/>
  <c r="S160" i="7"/>
  <c r="W174" i="7"/>
  <c r="S174" i="7"/>
  <c r="B23" i="10"/>
  <c r="R91" i="7"/>
  <c r="W104" i="7"/>
  <c r="S104" i="7"/>
  <c r="S153" i="7"/>
  <c r="W153" i="7"/>
  <c r="S65" i="7"/>
  <c r="W65" i="7"/>
  <c r="R119" i="7"/>
  <c r="B27" i="10"/>
  <c r="B26" i="10"/>
  <c r="R112" i="7"/>
  <c r="R39" i="7"/>
  <c r="B13" i="10"/>
  <c r="W47" i="7"/>
  <c r="S47" i="7"/>
  <c r="G17" i="10"/>
  <c r="R57" i="7"/>
  <c r="S97" i="7"/>
  <c r="W97" i="7"/>
  <c r="R84" i="7"/>
  <c r="G20" i="10"/>
  <c r="B36" i="10"/>
  <c r="R154" i="7"/>
  <c r="R105" i="7"/>
  <c r="B25" i="10"/>
  <c r="R175" i="7"/>
  <c r="B39" i="10"/>
  <c r="G18" i="10"/>
  <c r="R66" i="7"/>
  <c r="R48" i="7"/>
  <c r="G16" i="10"/>
  <c r="W56" i="7"/>
  <c r="S56" i="7"/>
  <c r="R98" i="7"/>
  <c r="B24" i="10"/>
  <c r="W83" i="7"/>
  <c r="S83" i="7"/>
  <c r="C7" i="2" l="1"/>
  <c r="C9" i="11" s="1"/>
  <c r="C21" i="2"/>
  <c r="B21" i="2"/>
  <c r="B7" i="2"/>
  <c r="C8" i="2"/>
  <c r="C10" i="11" s="1"/>
  <c r="C28" i="2"/>
  <c r="C14" i="2"/>
  <c r="C6" i="2"/>
  <c r="C8" i="11" s="1"/>
</calcChain>
</file>

<file path=xl/sharedStrings.xml><?xml version="1.0" encoding="utf-8"?>
<sst xmlns="http://schemas.openxmlformats.org/spreadsheetml/2006/main" count="1542" uniqueCount="419">
  <si>
    <t>Työkalun käyttötarkoitus</t>
  </si>
  <si>
    <t>Työkalu päivitetty viimeksi</t>
  </si>
  <si>
    <t>Tämä työkalu on suunniteltu (Staran ja Palvelukeskus Helsingin) työvaatehankinnan ympäristövaikutusten ja kustannusten mallintamiseen. Työkaluun on määritetty esimerkkivaatekerrat, joiden lähtötietoja muuttamalla voi tarkastella niiden vuotuisia ympäristövaikutuksia. Muutettavia parametreja ovat esimerkiksi vaatteiden painot, kuljetusetäisyydet pesuloihin, pesutiheydet ja käyttöiät, pesu- ja kuivauskoneiden energiankulutus ja hintatiedot. Työkalun avulla voi vertailla ympäristövaikutuksia ja kustannuksia nykytilassa, palveluskenaariossa ja omavuokrausskenaariossa.</t>
  </si>
  <si>
    <t>Välilehtien sisällöt (vihreällä täytetyt sisältävät olennaisia ja muutettavia lähtöarvoja)</t>
  </si>
  <si>
    <r>
      <rPr>
        <b/>
        <sz val="10"/>
        <rFont val="Arial"/>
      </rPr>
      <t xml:space="preserve">Yhteenveto tuloksista, hiilijalanjälki ja vesi: </t>
    </r>
    <r>
      <rPr>
        <sz val="10"/>
        <color rgb="FF000000"/>
        <rFont val="Arial"/>
      </rPr>
      <t>toimija- ja skenaariokohtaiset tulokset hiilijalanjälki- ja vedenkulutuslaskennasta.</t>
    </r>
  </si>
  <si>
    <t xml:space="preserve">Lähtötiedot: vaatteiden painot, pesutiheydet, käyttöiät, kuljetusmatkat, nykytilan oletukset. </t>
  </si>
  <si>
    <t>Lähtötiedot, kustannukset: Kustannuslaskennan lähtötiedot</t>
  </si>
  <si>
    <t>Kotikonemallien lähtötiedot: Koti- ja toimipistepesussa käytettyjen pesu- ja kuivauskoneiden lähtötiedot energian ja vedenkulutukseen osalta  ja niiden keskiarvoistus.</t>
  </si>
  <si>
    <t>Palveluntarjoajien lähtötiedot: Pesulatoimijoiden lähtötiedot pesun ja kuivauksen energian- ja vedenkulutuksen osalta ja niiden keskiarvoistus.</t>
  </si>
  <si>
    <t xml:space="preserve">Hiilijalanjälki ja veden kulutus: Hiilijalanjälki- ja vedenkulutuslaskenta. Ei sisällä muutettavia soluja. </t>
  </si>
  <si>
    <t>Kustannukset: Kustannuslaskenta.</t>
  </si>
  <si>
    <t xml:space="preserve">Päästökertoimet ja niiden laatu: Laskennassa käytetyt päästökertoimet ja muut olennaiset lähtötiedot, kuten tieto energiasisällöistä ja kuljetusvälineiden energiankulutuksesta. Kertoimia voi päivittää. </t>
  </si>
  <si>
    <r>
      <rPr>
        <b/>
        <sz val="10"/>
        <rFont val="Arial"/>
      </rPr>
      <t xml:space="preserve">Yhteenveto raportointiin: </t>
    </r>
    <r>
      <rPr>
        <sz val="10"/>
        <color rgb="FF000000"/>
        <rFont val="Arial"/>
      </rPr>
      <t>kokonaistulokset raportissa esitetyssä muodossa. Ei sisällä muutettavia soluja.</t>
    </r>
  </si>
  <si>
    <t xml:space="preserve">Herkkyystarkastelut: herkkyystarkastelujen (kaksi kappaletta) tulokset. Ei sisällä muutettavia soluja. </t>
  </si>
  <si>
    <r>
      <rPr>
        <b/>
        <sz val="10"/>
        <rFont val="Arial"/>
      </rPr>
      <t>Alkuelinkaari:</t>
    </r>
    <r>
      <rPr>
        <sz val="10"/>
        <color rgb="FF000000"/>
        <rFont val="Arial"/>
      </rPr>
      <t xml:space="preserve"> Työvaatteiden alkuelinkaaren aikaiset ilmastovaikutukset. Välilehti toimii itsenäisenä kokonaisuutena.</t>
    </r>
  </si>
  <si>
    <r>
      <rPr>
        <sz val="10"/>
        <color rgb="FF000000"/>
        <rFont val="Arial"/>
      </rPr>
      <t>Tällä välilehdellä on esitetty</t>
    </r>
    <r>
      <rPr>
        <sz val="10"/>
        <color rgb="FF000000"/>
        <rFont val="Arial"/>
      </rPr>
      <t xml:space="preserve"> </t>
    </r>
    <r>
      <rPr>
        <sz val="10"/>
        <color rgb="FF000000"/>
        <rFont val="Arial"/>
      </rPr>
      <t xml:space="preserve">tulokset hiilijalanjälkilaskennasta ja veden kulutuksesta </t>
    </r>
    <r>
      <rPr>
        <sz val="10"/>
        <color rgb="FFE91D63"/>
        <rFont val="Arial"/>
      </rPr>
      <t xml:space="preserve">nykytilassa </t>
    </r>
    <r>
      <rPr>
        <sz val="10"/>
        <color rgb="FF000000"/>
        <rFont val="Arial"/>
      </rPr>
      <t>ja</t>
    </r>
    <r>
      <rPr>
        <sz val="10"/>
        <color rgb="FFE91D63"/>
        <rFont val="Arial"/>
      </rPr>
      <t xml:space="preserve"> </t>
    </r>
    <r>
      <rPr>
        <sz val="10"/>
        <color rgb="FF43AAB1"/>
        <rFont val="Arial"/>
      </rPr>
      <t>skenaariossa 1 (palvelu)</t>
    </r>
    <r>
      <rPr>
        <sz val="10"/>
        <color rgb="FF000000"/>
        <rFont val="Arial"/>
      </rPr>
      <t xml:space="preserve">. </t>
    </r>
    <r>
      <rPr>
        <sz val="10"/>
        <color rgb="FF000000"/>
        <rFont val="Arial"/>
      </rPr>
      <t xml:space="preserve">Tulokset on esitetty kilogrammoina hiilidioksiidiekvivalenttia per vuosi. Hiilijalanjälkeä kuvaavat solut on esitetty harmaalla värillä, veden kulutusta kuvaavat solut sinisellä. </t>
    </r>
    <r>
      <rPr>
        <sz val="10"/>
        <color rgb="FF000000"/>
        <rFont val="Arial"/>
      </rPr>
      <t>Tämän välilehden soluja ei saa muuttaa.</t>
    </r>
  </si>
  <si>
    <t>Toimija</t>
  </si>
  <si>
    <t>Nykytila (kg CO₂e/a)</t>
  </si>
  <si>
    <t>Palvelu (kg CO₂e/a)</t>
  </si>
  <si>
    <t>Kuljetukset</t>
  </si>
  <si>
    <t>Pesu kotona ja toimipisteellä</t>
  </si>
  <si>
    <t>Kuivaus kotona ja toimipisteellä</t>
  </si>
  <si>
    <t>Pesu ja kuivaus pesulassa, sähkö</t>
  </si>
  <si>
    <t>Kuivaus pesulassa, kaasu</t>
  </si>
  <si>
    <t>Nykytila (litraa vettä vuodessa)</t>
  </si>
  <si>
    <t>Palvelu (litraa vettä vuodessa)</t>
  </si>
  <si>
    <t>Tälle sivulle täytetään laskurin yleiset lähtötiedot. Laskuri on rakennettu siten, että siinä voi verrata kolmea eri toimijaa kahdessa tilanteessa: nykytilassa, sekä palveluskenaariossa, jossa kaikki vaatteet pestään ja kuivataan keskitetysti yhdessä ulkoisessa pesulassa. Nykytilassa on mahdollista verrata erilaisia välivaihtoehtoja. HUOM! Toimija 1:n vaatteet on oletettu talvivaatteiksi --&gt; Talvivaate 1 ja Talvivaate 2 rivit soveltuvat vain talvivaatteiden käytön vertailuun! Muista valita vaatteille uniikit nimet eli älä käytä samoja nimiä eri vaatteille.</t>
  </si>
  <si>
    <t>Luokka</t>
  </si>
  <si>
    <t>Vaatteen nimi</t>
  </si>
  <si>
    <t>Minimi</t>
  </si>
  <si>
    <t>Maksimi</t>
  </si>
  <si>
    <t>Paino</t>
  </si>
  <si>
    <t>Yksikkö</t>
  </si>
  <si>
    <t>Muistiinpanot (oletukset jne.)</t>
  </si>
  <si>
    <t>lähde</t>
  </si>
  <si>
    <t>Käyttöikä (min, a)</t>
  </si>
  <si>
    <t>Käyttöikä (max, a)</t>
  </si>
  <si>
    <t>Käyttöikä (a)</t>
  </si>
  <si>
    <t>Pesutiheys (krt / vk min)</t>
  </si>
  <si>
    <t>Pesutiheys (krt / vk max)</t>
  </si>
  <si>
    <t>Pesutiheys (krt / vk)</t>
  </si>
  <si>
    <t>Vaatteen käyttöaika ennen pesua (tuntia)</t>
  </si>
  <si>
    <t>Pesukertojen lukumäärä vaatteen elinkaaren aikana</t>
  </si>
  <si>
    <t>Kotipesun osuus (%)</t>
  </si>
  <si>
    <t>Pesu toimipisteellä (%)</t>
  </si>
  <si>
    <t>Pesulapesun osuus (%)</t>
  </si>
  <si>
    <t>Rumpukuivatuksen osuus kotipesussa (%)</t>
  </si>
  <si>
    <t>Narukuivatuksen osuus kotipesussa (%)</t>
  </si>
  <si>
    <t>Ominaisuudet ja huomiot käytössä</t>
  </si>
  <si>
    <t>Lähde pesu- ja käyttötiedoille</t>
  </si>
  <si>
    <t>KÄYTTÖ</t>
  </si>
  <si>
    <t>Toimija 1</t>
  </si>
  <si>
    <t>kg</t>
  </si>
  <si>
    <t>HUOM. vain talvivaatteet!</t>
  </si>
  <si>
    <t>Toimija 2</t>
  </si>
  <si>
    <t>Toimija 3</t>
  </si>
  <si>
    <t>Matkan kuvaus</t>
  </si>
  <si>
    <t>Etäisyys</t>
  </si>
  <si>
    <t>TYÖNTEKIJÄT</t>
  </si>
  <si>
    <t xml:space="preserve">Työntekijän edestakainen matka toimipisteelle </t>
  </si>
  <si>
    <t xml:space="preserve">km </t>
  </si>
  <si>
    <t>PK-seudun ja kehyskuntien asukkaiden kotiperäinen työmatka vuorokaudessa</t>
  </si>
  <si>
    <t>HSL 2019</t>
  </si>
  <si>
    <t>km</t>
  </si>
  <si>
    <t>Työntekijän edestakainen matka toimipisteelle</t>
  </si>
  <si>
    <t>PALVELUSKENAARIO</t>
  </si>
  <si>
    <t>Uusi palveluntarjoaja</t>
  </si>
  <si>
    <t>Etäisyys toimipisteeltä uuden palveluntarjoajan pesulaan</t>
  </si>
  <si>
    <t xml:space="preserve">Palveluskenaario ilman välivarastoa. Vaihda tähän haluttu etäisyys pesulaan. </t>
  </si>
  <si>
    <t>Tiedon kuvaus</t>
  </si>
  <si>
    <t>Arvo</t>
  </si>
  <si>
    <t>MUUT TIEDOT</t>
  </si>
  <si>
    <t>Kaikki toimijat</t>
  </si>
  <si>
    <t>Työpäiviä vuodessa</t>
  </si>
  <si>
    <t>päivää</t>
  </si>
  <si>
    <t>oletus</t>
  </si>
  <si>
    <t>Työaika per päivä</t>
  </si>
  <si>
    <t>tuntia / päivä</t>
  </si>
  <si>
    <t>JHL 2020</t>
  </si>
  <si>
    <t>Työaika per viikko</t>
  </si>
  <si>
    <t>tuntia / viikko</t>
  </si>
  <si>
    <t>Työvaatteiden käyttöaika vuodessa</t>
  </si>
  <si>
    <t>tuntia</t>
  </si>
  <si>
    <t>laskettu</t>
  </si>
  <si>
    <t>Talvipäivien osuus vuodesta</t>
  </si>
  <si>
    <t>%</t>
  </si>
  <si>
    <t>Ilmatieteen laitos 2020</t>
  </si>
  <si>
    <t>Työpäiviä vuodessa, talvi</t>
  </si>
  <si>
    <t>Työvaaatteiden käyttöaika vuodessa, talvi</t>
  </si>
  <si>
    <t>HANKINTA</t>
  </si>
  <si>
    <t>€ / kpl</t>
  </si>
  <si>
    <t>Palvelukeskus Helsinki lähtötiedot</t>
  </si>
  <si>
    <t>Kustannuksen kuvaus</t>
  </si>
  <si>
    <t>Kustannus</t>
  </si>
  <si>
    <t>PESU ja KUIVAUS</t>
  </si>
  <si>
    <t>Toimipiste</t>
  </si>
  <si>
    <t>Sähkön hinta</t>
  </si>
  <si>
    <t>€ / kWh</t>
  </si>
  <si>
    <t>Helenin yrityksille tarjoaman Perussähkö-sopimuksen hinta 26.10.</t>
  </si>
  <si>
    <t>Perusmaksu, min, € / kk</t>
  </si>
  <si>
    <t>Perusmaksu, max, € / kk</t>
  </si>
  <si>
    <t>Perusmaksu, € / kk</t>
  </si>
  <si>
    <t>Perusmaksu, € / v</t>
  </si>
  <si>
    <t>Veden perusmaksu</t>
  </si>
  <si>
    <t>€ / l</t>
  </si>
  <si>
    <r>
      <rPr>
        <u/>
        <sz val="10"/>
        <color rgb="FF000000"/>
        <rFont val="Arial"/>
      </rPr>
      <t>Heitto:</t>
    </r>
    <r>
      <rPr>
        <u/>
        <sz val="10"/>
        <color rgb="FF1155CC"/>
        <rFont val="Arial"/>
      </rPr>
      <t>, HSY:n vesihuollon hinnasto 2020</t>
    </r>
    <r>
      <rPr>
        <sz val="10"/>
        <color rgb="FF000000"/>
        <rFont val="Arial"/>
      </rPr>
      <t>, ALV 0 %</t>
    </r>
  </si>
  <si>
    <t>Veden käyttömaksu</t>
  </si>
  <si>
    <r>
      <rPr>
        <u/>
        <sz val="10"/>
        <color rgb="FF1155CC"/>
        <rFont val="Arial"/>
      </rPr>
      <t>HSY:n vesihuollon hinnasto 2020</t>
    </r>
    <r>
      <rPr>
        <sz val="10"/>
        <color rgb="FF000000"/>
        <rFont val="Arial"/>
      </rPr>
      <t>, ALV 0 %</t>
    </r>
  </si>
  <si>
    <t>Jäteveden käyttömaksu</t>
  </si>
  <si>
    <r>
      <rPr>
        <u/>
        <sz val="10"/>
        <color rgb="FF1155CC"/>
        <rFont val="Arial"/>
      </rPr>
      <t>HSY:n vesihuollon hinnasto 2020</t>
    </r>
    <r>
      <rPr>
        <sz val="10"/>
        <color rgb="FF000000"/>
        <rFont val="Arial"/>
      </rPr>
      <t>, ALV 0 %</t>
    </r>
  </si>
  <si>
    <t>Aineen hinta / litra, €</t>
  </si>
  <si>
    <t>Aineen määrä / pesu, l</t>
  </si>
  <si>
    <t>Aineen määrä / pesukilo, l</t>
  </si>
  <si>
    <t>Pesuaineen hinta</t>
  </si>
  <si>
    <t>€  / kg</t>
  </si>
  <si>
    <t>Laitteen keskim. hankintahinta, €</t>
  </si>
  <si>
    <t>Käyttöikä, v</t>
  </si>
  <si>
    <t>Käyttöikä, krt/vk, v</t>
  </si>
  <si>
    <t>Käyttökerrat elinkaaren aikana</t>
  </si>
  <si>
    <t>Hankintakustannus/käyttökerta, €</t>
  </si>
  <si>
    <t>Pesukoneen hinta</t>
  </si>
  <si>
    <t>€ / kg</t>
  </si>
  <si>
    <t>Hinta pesukilolle jakamalla pesukerran kustannus keskim. täyttömäärällä</t>
  </si>
  <si>
    <t xml:space="preserve">Käyttöiälle keskiarvo korjattavan ja ei-korjattavan kotikoneen luvut. Käyttökerrat laskettu kyselyn keskim. viikkokäyttökertojen mukaan: Tecchio, P., Ardente, F. &amp; Mathieux, F. (2019). Understanding lifetimes and failure modes of defective washing machines and dishwashers. Journal of Cleaner Production, 215(2019), 1112-1122. </t>
  </si>
  <si>
    <t>Kuivausrummun hinta</t>
  </si>
  <si>
    <t>Hinta kuivauskilolle jakamalla kuivauskerran kustannus keskim. täyttömäärällä</t>
  </si>
  <si>
    <t>Oletettu samoiksi kuin pesukoneessa</t>
  </si>
  <si>
    <t>Kuivauskaapin hinta</t>
  </si>
  <si>
    <t>Pyykkihuoltoa toimipisteellä tekevän työntekijän palkka</t>
  </si>
  <si>
    <t>€ / h</t>
  </si>
  <si>
    <t>Pyykkihuoltoon menevä aika / koneellinen</t>
  </si>
  <si>
    <t>h</t>
  </si>
  <si>
    <t>Arvio</t>
  </si>
  <si>
    <t>Arvioitu vastaava tuote: "As kokintakki Palmia M-XL"</t>
  </si>
  <si>
    <t>Hinnasto, asiakkaan omat tuotteet 2016</t>
  </si>
  <si>
    <t>Arvioitu vastaava tuote: "As kokinhousut miesten Palmia M"</t>
  </si>
  <si>
    <t>Arvioitu vastaava tuote: "As päähine Pakkala Palmia"</t>
  </si>
  <si>
    <t>Arvioitu vastaava tuote: "As suojaesiliina Palmia pun S, L"</t>
  </si>
  <si>
    <t>Sama hinta takille että housuille</t>
  </si>
  <si>
    <t>JÄTEHUOLTO</t>
  </si>
  <si>
    <t>Jätehuollon kustannus</t>
  </si>
  <si>
    <t>Arvio jätehuollon kustannuksesta per vaatekilo</t>
  </si>
  <si>
    <t>KULJETUKSET</t>
  </si>
  <si>
    <t>Arvio yhdensuuntaisesta keskim. kuljetuskustannuksesta per vaatekilo</t>
  </si>
  <si>
    <t>Toimipiste - varusvarasto</t>
  </si>
  <si>
    <t>VUOKRAT</t>
  </si>
  <si>
    <t>€ / käyttökerta</t>
  </si>
  <si>
    <r>
      <t xml:space="preserve">Tällä välilehdellä on esitetty kotikonemallisten pesu- ja kuivauskoneiden energian- ja vedenkulutustiedot sekä niiden keskiarvoistus. Laskennassa on käytetty siniseksi maalattujen solujen tietoja, jotka on laskettu riviltä 11 alkavista tiedoista niiden keskiarvona. </t>
    </r>
    <r>
      <rPr>
        <b/>
        <sz val="10"/>
        <rFont val="Arial"/>
      </rPr>
      <t xml:space="preserve">Kaikkia vihreällä värillä korostettuja soluja saa ja voi muokata. Kaikkiin sarakkeisiin voi täydentää uusia tietoja, jotka lasketaan mukaan keskiarvoon. </t>
    </r>
  </si>
  <si>
    <t>Täyttömäärä kg</t>
  </si>
  <si>
    <t>Vuosittaiset pesut</t>
  </si>
  <si>
    <t>Energiankulutus kWh/vuosi</t>
  </si>
  <si>
    <t>Pesukoneen hinta (€)</t>
  </si>
  <si>
    <t>Vedenkulutus l/vuosi</t>
  </si>
  <si>
    <t>Energiankulutus kWh/pesu</t>
  </si>
  <si>
    <t>Pesun sähkönkulutus (kWh/kg)</t>
  </si>
  <si>
    <t>Kotikonemallin vedenkulutus (l/kg)</t>
  </si>
  <si>
    <t>Lähde</t>
  </si>
  <si>
    <t>Kuivausrummun kapasiteetti kg</t>
  </si>
  <si>
    <t>Kuivausrummun energiankulutus kwh/kuivaus</t>
  </si>
  <si>
    <t>Kuivausrummun sähkönkulutus, KUIVAUS (kwh/kg)</t>
  </si>
  <si>
    <t>Kuivausrummun hinta (€)</t>
  </si>
  <si>
    <t>Kuivauskaapin kapasiteetti kg</t>
  </si>
  <si>
    <t>Kuivauskaapin energiankulutus kwh/kuivaus</t>
  </si>
  <si>
    <t>Kuivauskaapin sähkönkulutus, KUIVAUS (kwh/kg)</t>
  </si>
  <si>
    <t>Kuivaus narulla, kwh/kg</t>
  </si>
  <si>
    <t>Keskiarvo</t>
  </si>
  <si>
    <t>Miele 2020</t>
  </si>
  <si>
    <t>Gigantti 2020</t>
  </si>
  <si>
    <t>Savon Voima 2018</t>
  </si>
  <si>
    <t>Power 2020</t>
  </si>
  <si>
    <t>Electrolux 2020</t>
  </si>
  <si>
    <t>Hobby Hall 2020</t>
  </si>
  <si>
    <t>Prisma 2020</t>
  </si>
  <si>
    <r>
      <t xml:space="preserve">Tällä välilehdellä on esitetty palveluntarjoajien pesun ja kuivauksen energian- ja vedenkulutustiedot sekä niille tehty keskiarvoistus. Laskennassa on käytetty siniseksi maalattujen solujen tietoja, jotka on laskettu riviltä 11 alkavista tiedoista niiden keskiarvona. </t>
    </r>
    <r>
      <rPr>
        <b/>
        <sz val="10"/>
        <rFont val="Arial"/>
      </rPr>
      <t>Kaikkia vihreällä värillä korostettuja soluja saa ja voi muokata. Kaikkiin sarakkeisiin voi täydentää uusia tietoja, jotka lasketaan mukaan keskiarvoon.</t>
    </r>
  </si>
  <si>
    <t>Osuus toimminasta palveluskenaariossa [%]</t>
  </si>
  <si>
    <t>Sähkönkulutus, PESU + KUIVAUS (kWh / kg)</t>
  </si>
  <si>
    <t>Sähkönkulutus PESU (kWh / kg)</t>
  </si>
  <si>
    <t>Sähkönkulutus, KUIVAUS (kWh / kg)</t>
  </si>
  <si>
    <t>Kaasunkulutus, KUIVAUS (m³/kg)</t>
  </si>
  <si>
    <t>Maakaasun osuus kaasusta (%)</t>
  </si>
  <si>
    <t>Biokaasun osuus kaasusta (%)</t>
  </si>
  <si>
    <t>Vedenkulutus (l/kg)</t>
  </si>
  <si>
    <t>KESKIARVO</t>
  </si>
  <si>
    <t>PESULA 1</t>
  </si>
  <si>
    <t>PESULA 2</t>
  </si>
  <si>
    <t>PESULA 3</t>
  </si>
  <si>
    <t xml:space="preserve">Tällä välilehdellä on hiilijalanjäljen, veden kulutuksen ja toteutettujen herkkyystarkastelujen kaavat ja laskenta. Tämän välilehden arvoja tai sisältöä ei saa eikä tarvitse muuttaa. Laskennan lähtötiedot ovat "Lähtötiedot"-välilehdellä sekä välilehdillä "kotikonemallien lähtötiedot" ja "palveluntarjoajien lähtötiedot". </t>
  </si>
  <si>
    <t>HERKKYYSTARKASTELU 1. Pesun sähkönkulutus x 2</t>
  </si>
  <si>
    <t>HERKKYYSTARKASTELU 1. Pesun sähkönkulutus x 2 kg CO₂e / vuosi</t>
  </si>
  <si>
    <t>Herkkyystarkastelu 2. Biokaasu 100 % + vesisähkö</t>
  </si>
  <si>
    <t>YHTEENSÄ / KÄYTTÖTUNTI, TAKKI</t>
  </si>
  <si>
    <t>g CO₂e / vuosi</t>
  </si>
  <si>
    <t>Kuljetus kotiin</t>
  </si>
  <si>
    <t>Polttoaineen valmistus</t>
  </si>
  <si>
    <t>Pesut kotona</t>
  </si>
  <si>
    <t>Rumpukuivatus kotona</t>
  </si>
  <si>
    <t>Narukuivatus kotona</t>
  </si>
  <si>
    <t>Kuljetus töihin</t>
  </si>
  <si>
    <t>Pesut toimipisteellä</t>
  </si>
  <si>
    <t>Kaappikuivatus toimipisteellä</t>
  </si>
  <si>
    <t>YHTEENSÄ</t>
  </si>
  <si>
    <t>YHTEENSÄ kg CO₂e / vuosi ja litraa / vuosi</t>
  </si>
  <si>
    <t>Työntekijä, ylimääräinen matka henkilöautolla, gCO₂e</t>
  </si>
  <si>
    <t>Työntekijä, ylimääräinen matka julkisella, gCO₂e</t>
  </si>
  <si>
    <t>Työntekijällä ei ylimääräisiä matkoja gCO₂e</t>
  </si>
  <si>
    <t>Hiilijalanjälki VUODESSA, kg CO₂e</t>
  </si>
  <si>
    <t>Herkkyystarkastelu 2. Biokaasu + tuulisähkö</t>
  </si>
  <si>
    <t>Pesu, litraa vettä</t>
  </si>
  <si>
    <t>YHTEENSÄ / KÄYTTÖTUNTI, HOUSUT</t>
  </si>
  <si>
    <t>Konekuivatus kotona</t>
  </si>
  <si>
    <t>Kuljetus pesulaan</t>
  </si>
  <si>
    <t>Pesu ja kuivaus pesulassa</t>
  </si>
  <si>
    <t>Kaasukuivaus, maakaasu</t>
  </si>
  <si>
    <t>Kaasukuivatus, biokaasu</t>
  </si>
  <si>
    <t>Kuljetus toimipisteelle</t>
  </si>
  <si>
    <t>Pesu ja kuivatus pesulassa, gCO₂e</t>
  </si>
  <si>
    <t>YHTEENSÄ / KÄYTTÖTUNTI, T-PAITA</t>
  </si>
  <si>
    <t>YHTEENSÄ  / KÄYTTÖTUNTI, ALAOSA</t>
  </si>
  <si>
    <t>YHTEENSÄ / KÄYTTÖTUNTI, PÄÄHINE</t>
  </si>
  <si>
    <t>YHTEENSÄ / KÄYTTÖTUNTI, ESILIINA</t>
  </si>
  <si>
    <t>Pesu ja kuivatus pesulassa,  gCO₂e</t>
  </si>
  <si>
    <t>YHTEENSÄ / KÄYTTÖTUNTI, ALAOSA</t>
  </si>
  <si>
    <t>YHTEENSÄ / KÄYTTÖTUNTI, ULKOTAKKI</t>
  </si>
  <si>
    <t>Pesu ja kuivatus toimipisteessä,  gCO₂e</t>
  </si>
  <si>
    <t>YHTEENSÄ / KÄYTTÖTUNTI, SOFTSHELLTAKKI</t>
  </si>
  <si>
    <t>YHTEENSÄ / KÄYTTÖTUNTI, COLLEGETAKKI</t>
  </si>
  <si>
    <t>YHTEENSÄ / KÄYTTÖTUNTI, IRTOVUORI</t>
  </si>
  <si>
    <t>YHTEENSÄ / KÄYTTÖTUNTI, SOFTSHELL-TAKKI</t>
  </si>
  <si>
    <t>YHTEENSÄ / KÄYTTÖTUNTI, COLLEGE-TAKKI</t>
  </si>
  <si>
    <t>Pesu ja kuivatus pesulassa,  g CO₂e</t>
  </si>
  <si>
    <t>Tällä välilehdellä lasketaan kustannukset vaiheittain eri vaatteille lähtötietojen mukaan mallinnettujen prosessien aikana. Sivulta ei lähtökohtaisesti ole tarkoitus muuttaa mitään olemassaolevia tietoja, sillä kustannus muodostuu vaatteen hankintahinnan ja painon mukaan, ja nuo tiedot haetaan muilta välilehdiltä. Laskettaessa esimerkiksi Staran talvitakin kustannuksia nykytilassa, laskenta hakee tarpeelliset tiedot soluun B20 kirjoitetun tuotteen nimen perusteella. Mikäli siis haluaa laskea jollekin erihintaiselle ja -painoiselle tuotteelle kustannuksen, voi niistä lisätä tarpeelliset tiedot välilehdille "Lähtötiedot" ja "Lähtötiedot - kustannukset", ja sitten vaihtaa tuotteen nimen tämän välilehden soluun, jossa tuotteen nimi on. 
Skenaarioita voi myös halutessaan täydentää. Esim. Staran tuotteiden omavuokraus-skenaarioissa voi tyhjiin ruutuihin kirjoittaa prosessin nimen ja sen alle käyttökertakohtaisen prosessikustannuksen, kuten esimerkiksi kuljetuksen. Laskentaan voi myös lisätä sarakkeita, mikäli tila loppuu kesken. Sellaisia soluja, joihin on kirjoitettu kaava, ei tule tyhjentää, vaan sen sijaan lisätä uusi sarake valitsemalla esimerkiksi sarake N, painamalla hiiren oikeaa näppäintä ja "Insert 1 left".
Punaisella maalatut skenaariot ovat tiedoiltaan puutteellisia. Esim. PKH1 Ruokapalveluiden tapauksessa ei tiedetä vaatteiden vuokra- ja kuljetuskustannuksia. Täyttämällä ne "Lähtötiedot - kustannukset"-välilehdelle voi arvioida nykytilan vaatekohtaista kokonaiskustannusta, ja tarvittaessa tyhjiin soluihin voi lisätä muita mahdollisia kuluja.</t>
  </si>
  <si>
    <t>Viitesolut</t>
  </si>
  <si>
    <t>Tarkasteltavat täyttömäärät</t>
  </si>
  <si>
    <t xml:space="preserve">Täyttömäärä: 100 % </t>
  </si>
  <si>
    <t>Pesukoneen kustannukset 2-kertaisena ("epäoptimaalinen pesu")</t>
  </si>
  <si>
    <t>€ / vuosi</t>
  </si>
  <si>
    <t>Pesukerrat elinkaaren aikana</t>
  </si>
  <si>
    <t>Pesukerrat vuoden aikana</t>
  </si>
  <si>
    <t>Kustannuksen muodostuminen</t>
  </si>
  <si>
    <t>Jätehuolto</t>
  </si>
  <si>
    <t>PAINOTETTU KESKIARVO</t>
  </si>
  <si>
    <t>€ / pesuväli</t>
  </si>
  <si>
    <t>HUOLTO</t>
  </si>
  <si>
    <t>Toimija 1 talvivaate 1</t>
  </si>
  <si>
    <t>Hankintahinta / pesuväli</t>
  </si>
  <si>
    <t>Pesukoneen hinta / pesu</t>
  </si>
  <si>
    <t>Pesukoneen sähkö / pesu</t>
  </si>
  <si>
    <t>Pesuveden käyttömaksu</t>
  </si>
  <si>
    <t>Kuivausrummun hinta / pesu</t>
  </si>
  <si>
    <t>Kuivausrummun sähkö</t>
  </si>
  <si>
    <t>Kuivauskaapin hinta / pesu</t>
  </si>
  <si>
    <t>Kuivauskaapin sähkö</t>
  </si>
  <si>
    <t>Pesuun ja kuivaukseen menevän työn hinta</t>
  </si>
  <si>
    <t>Pesu toimipisteellä, kuivaus kaapissa</t>
  </si>
  <si>
    <t>Pesu toimipisteellä, kuivaus rummussa</t>
  </si>
  <si>
    <t>Pesu kotona</t>
  </si>
  <si>
    <t>toimija 1 talvivaate 2</t>
  </si>
  <si>
    <t>toimija 1 talvivaate 1</t>
  </si>
  <si>
    <t>Kuljetus, toimipiste - pesula</t>
  </si>
  <si>
    <t>Pesu &amp; kuivaus</t>
  </si>
  <si>
    <t>toimija 2 vaate 1</t>
  </si>
  <si>
    <t>toimija 2 vaate 2</t>
  </si>
  <si>
    <t>toimija 2 vaate 3</t>
  </si>
  <si>
    <t>toimija 2 vaate 4</t>
  </si>
  <si>
    <t>toimija 2 vaate 5</t>
  </si>
  <si>
    <t>Käyttökerrat vuoden aikana:</t>
  </si>
  <si>
    <t>Kuljetus, pesula - toimipiste</t>
  </si>
  <si>
    <t xml:space="preserve">Vuokra / käyttökerta </t>
  </si>
  <si>
    <t>toimija 3 vaate 1</t>
  </si>
  <si>
    <t>toimija 3 vaate 2</t>
  </si>
  <si>
    <t>toimija 3 vaate 3</t>
  </si>
  <si>
    <t>toimija 3 vaate 4</t>
  </si>
  <si>
    <r>
      <t xml:space="preserve">Tällä välilehdellä on esitetty hiilijalanjälkilaskennan päästökertoimien ja olennaisten lähtötietojen laatuarviointi sekä lähteet. Tälle sivulle voidaan myös </t>
    </r>
    <r>
      <rPr>
        <b/>
        <u/>
        <sz val="10"/>
        <rFont val="Arial"/>
      </rPr>
      <t>päivittää</t>
    </r>
    <r>
      <rPr>
        <sz val="10"/>
        <color rgb="FF000000"/>
        <rFont val="Arial"/>
      </rPr>
      <t xml:space="preserve"> edustavampia päästökertoimia ja lähtötietoja vanhojen tilalle, jos niitä onnistutaan keräämään tai hankkimaan. Mikäli tiedossa on kertoimen tai arvon minimi- ja maksimi, voidaan ne päivittää omiin sarakkeisiinsa, jolloin laskennassa käytetään automaattisesti näiden keskiarvoa. </t>
    </r>
  </si>
  <si>
    <t>Mahdollinen minimi</t>
  </si>
  <si>
    <t>Mahdollinen maksimi</t>
  </si>
  <si>
    <t>Teknologinen edustavuus</t>
  </si>
  <si>
    <t>Ajallinen edustavuus</t>
  </si>
  <si>
    <t>Maantieteellinen edustavuus</t>
  </si>
  <si>
    <t>Completeness</t>
  </si>
  <si>
    <t>Reliability</t>
  </si>
  <si>
    <t>Tiedon alkuperä                P=primääridata   S=sekundääridata</t>
  </si>
  <si>
    <t>Kokonaislaatu (huonoimman mukaan)</t>
  </si>
  <si>
    <t>Muistiinpanot</t>
  </si>
  <si>
    <t>Lähteet</t>
  </si>
  <si>
    <t>Suorat päästöt keskimääräisellä kaupunkibussilla ajosta</t>
  </si>
  <si>
    <t>g CO₂e/hkm</t>
  </si>
  <si>
    <t>Erittäin hyvä</t>
  </si>
  <si>
    <t>FI</t>
  </si>
  <si>
    <t>S</t>
  </si>
  <si>
    <t>Hyvä</t>
  </si>
  <si>
    <t>kaupunkibussi, 18 matkustajaa</t>
  </si>
  <si>
    <t>VTT Lipasto</t>
  </si>
  <si>
    <t>Keskimääräisen kaupunkibussin energiankulutus</t>
  </si>
  <si>
    <t>MJ/km</t>
  </si>
  <si>
    <t>Suorat päästöt keskimääräisellä henkilöautolla ajosta</t>
  </si>
  <si>
    <t>g CO₂e/km</t>
  </si>
  <si>
    <t>73% maantieajo, 27% katuajo</t>
  </si>
  <si>
    <t>Keskimääräisen henkilöauton energiankulutus</t>
  </si>
  <si>
    <t>Suorat päästöt 15t jakelukuorma-autolla ajosta, täysi kuorma</t>
  </si>
  <si>
    <t>g CO₂e/tkm</t>
  </si>
  <si>
    <t>Katu- ja maantieajon kertoimien keskiarvo EUR 6 luokassa.</t>
  </si>
  <si>
    <t>Energiankulutus 15t jakelukuorma-autolla ajosta, täysi kuorma</t>
  </si>
  <si>
    <t>MJ/tkm</t>
  </si>
  <si>
    <t>Suorat päästöt 25t puoliperävaunurekalla ajosta, täysi kuorma</t>
  </si>
  <si>
    <t>Energiankulutus 25t puoliperävaunurekalla ajosta, täysi kuorma</t>
  </si>
  <si>
    <t>Suorat päästöt 25t täysiperävaunurekalla ajosta, täysi kuorma</t>
  </si>
  <si>
    <t>Energiankulutus 25t täysiperävaunurekalla ajosta, täysi kuorma</t>
  </si>
  <si>
    <t>Dieselin valmistuksen päästöt</t>
  </si>
  <si>
    <t>g CO₂e/MJ</t>
  </si>
  <si>
    <t>EU</t>
  </si>
  <si>
    <t>Euroopan komissio 2015</t>
  </si>
  <si>
    <t>Dieselin energiasisältö / lämpöarvo</t>
  </si>
  <si>
    <t>MJ/kg</t>
  </si>
  <si>
    <t>Dieselin tiheys</t>
  </si>
  <si>
    <t>kg/m³</t>
  </si>
  <si>
    <t>Työterveyslaitos 2017</t>
  </si>
  <si>
    <t>Vesisähkön elinkaaripäästöt</t>
  </si>
  <si>
    <t>g CO₂e/kWh</t>
  </si>
  <si>
    <t>Globaali</t>
  </si>
  <si>
    <t>Turconi et al. 2012</t>
  </si>
  <si>
    <t>Sähköntuotannon keskim. päästöt</t>
  </si>
  <si>
    <t>g CO₂e/kwh</t>
  </si>
  <si>
    <r>
      <rPr>
        <u/>
        <sz val="10"/>
        <color rgb="FF1155CC"/>
        <rFont val="Arial"/>
      </rPr>
      <t>Motiva 2020. CO2-päästökertoimet</t>
    </r>
    <r>
      <rPr>
        <sz val="10"/>
        <color rgb="FF000000"/>
        <rFont val="Arial"/>
      </rPr>
      <t>, data vuodelta 2018</t>
    </r>
  </si>
  <si>
    <t>Kaukolämmön tuotannon päästöt</t>
  </si>
  <si>
    <t>Helen 2020</t>
  </si>
  <si>
    <t>Maakaasun tehollinen lämpöarvo</t>
  </si>
  <si>
    <t>VTT 2016</t>
  </si>
  <si>
    <t>kwh/kg</t>
  </si>
  <si>
    <t>Maakaasun tiheys 30mbar paineessa</t>
  </si>
  <si>
    <t>Unitrove 2020</t>
  </si>
  <si>
    <t>Maakaasun oletuspäästökerroin</t>
  </si>
  <si>
    <t>Tilastokeskus 2020</t>
  </si>
  <si>
    <t>Biokaasun palamisen päästökerroin</t>
  </si>
  <si>
    <t>Biokaasun valmistuksen päästökerroin</t>
  </si>
  <si>
    <t>kg CO₂e/kg</t>
  </si>
  <si>
    <t>Ilmastopaneelin Autolaskuri</t>
  </si>
  <si>
    <t>Ilmastopaneeli 2020</t>
  </si>
  <si>
    <t>Maakaasun tiheys normaalipaineessa ja 15 asteen lämpötilassa</t>
  </si>
  <si>
    <r>
      <t xml:space="preserve">Tällä välilehdellä on esitetty tulokset hiilijalanjälkilaskennasta ja kustannuslaskennasta siinä muodossa kuin missä ne on esitetty liitteeenä toimitetussa raportissa. Välilehti näyttää tarkemmin myös kaikki kategoriat, joista hiilijalanjälki ja kustannukset muodostuvat, ja välilehdeltä voi kopioida tuloskuvia ulkoiseen käyttöön. </t>
    </r>
    <r>
      <rPr>
        <b/>
        <sz val="10"/>
        <rFont val="Arial"/>
      </rPr>
      <t>Tämän välilehden soluja ei saa muuttaa.</t>
    </r>
  </si>
  <si>
    <t>Pesut kotona (kg CO₂e/a)</t>
  </si>
  <si>
    <t>Rumpukuivatus kotona (kg CO₂e/a)</t>
  </si>
  <si>
    <t>Narukuivatus kotona (kg CO₂e/a)</t>
  </si>
  <si>
    <t>Pesut toimipisteellä (kg CO₂e/a)</t>
  </si>
  <si>
    <t>Kaappikuivatus toimipisteellä (kg CO₂e/a)</t>
  </si>
  <si>
    <t>Pesu ja kuivaus pesulassa (kg CO₂e/a)</t>
  </si>
  <si>
    <t>Kaasukuivaus, maakaasu (kg CO₂e/a)</t>
  </si>
  <si>
    <t>Kaasukuivatus, biokaasu (kg CO₂e/a)</t>
  </si>
  <si>
    <t>Kuljetukset, suorat päästöt (kg CO₂e/a)</t>
  </si>
  <si>
    <t>Polttoaineen valmistus (kg CO₂e/a)</t>
  </si>
  <si>
    <t>Epäoptimaalisen pesun kustannus</t>
  </si>
  <si>
    <r>
      <t xml:space="preserve">Tällä välilehdellä on esitetty hiilijalanjälkilaskennan herkkyystarkastelujen tulokset. Herkkyystarkasteluja toteutettiin kaksi kappaletta. Ensimmäisessä tarkasteltiin tilannetta, jossa pesun sähkönkulutus </t>
    </r>
    <r>
      <rPr>
        <u/>
        <sz val="10"/>
        <rFont val="Arial"/>
      </rPr>
      <t>kotipesussa oli kaksinkertainen.</t>
    </r>
    <r>
      <rPr>
        <sz val="10"/>
        <color rgb="FF000000"/>
        <rFont val="Arial"/>
      </rPr>
      <t xml:space="preserve"> Toisessa herkkyystarkastelussa pesuloiden kuivaukseen käyttämä kaasu oletettiin </t>
    </r>
    <r>
      <rPr>
        <u/>
        <sz val="10"/>
        <color rgb="FF548135"/>
        <rFont val="Arial"/>
      </rPr>
      <t xml:space="preserve">biokaasuksi ja sähkö uusiutuvaksi. </t>
    </r>
    <r>
      <rPr>
        <sz val="10"/>
        <color rgb="FF000000"/>
        <rFont val="Arial"/>
      </rPr>
      <t>Tämän välilehden soluja ei saa muuttaa.</t>
    </r>
  </si>
  <si>
    <t>Herkkyystarkastelu 1. Sähkönkulutus x 2 pesussa</t>
  </si>
  <si>
    <t>Herkkyystarkastelu 2. Biokaasu + vesisähkö</t>
  </si>
  <si>
    <t>TOIMIJA 1</t>
  </si>
  <si>
    <t>Vaate 1</t>
  </si>
  <si>
    <t>Vaate 2</t>
  </si>
  <si>
    <t>Talvitakki</t>
  </si>
  <si>
    <t>Talvihousut</t>
  </si>
  <si>
    <t>Vaatekerta</t>
  </si>
  <si>
    <t>Valmiin vaatteen paino</t>
  </si>
  <si>
    <t>Kankaiden hiilijalanjälki</t>
  </si>
  <si>
    <t>kgCO2e</t>
  </si>
  <si>
    <t>Valmistusvaiheen häviö</t>
  </si>
  <si>
    <t>Valmistuksen hiilijalanjälki</t>
  </si>
  <si>
    <t>Tarvittava kangasmäärä</t>
  </si>
  <si>
    <t>Hiilijalanjälki yhteensä</t>
  </si>
  <si>
    <t>Puuvillan osuus</t>
  </si>
  <si>
    <t>Hiilijalanjälki käyttövuotta kohden</t>
  </si>
  <si>
    <t>kgCO2e/a</t>
  </si>
  <si>
    <t>Polyesterin osuus</t>
  </si>
  <si>
    <t>Puuvillaa yhteensä</t>
  </si>
  <si>
    <t>Polyesteriä yhteensä</t>
  </si>
  <si>
    <t>Puuvillan päästökerroin</t>
  </si>
  <si>
    <t>kgCO₂e/kg kangas</t>
  </si>
  <si>
    <t>van der Velden 2014</t>
  </si>
  <si>
    <t>Puuvillan hiilijalanjälki</t>
  </si>
  <si>
    <t>kgCO₂e</t>
  </si>
  <si>
    <t>Polyesterin päästökerroin</t>
  </si>
  <si>
    <t>Polyesterin hiilijalanjälki</t>
  </si>
  <si>
    <t>Kankaiden hiilijalanjälki yhteensä</t>
  </si>
  <si>
    <t>Valmistuksen sähkönkulutus</t>
  </si>
  <si>
    <t>kWh/kg</t>
  </si>
  <si>
    <t>Collins &amp; Aum^onier</t>
  </si>
  <si>
    <t>kWh</t>
  </si>
  <si>
    <t>Sähköntuotannon päästökerroin Suomessa</t>
  </si>
  <si>
    <t>gCO₂e/kWh</t>
  </si>
  <si>
    <t>gCO₂e</t>
  </si>
  <si>
    <t>Valmistuksen hiilijalanjälki yhteensä</t>
  </si>
  <si>
    <t>HIILIJALANJÄLKI YHTEENSÄ</t>
  </si>
  <si>
    <t>Vaatteen käyttöikä</t>
  </si>
  <si>
    <t>a</t>
  </si>
  <si>
    <t>Alkuelinkaaren hiilijalanjälki käyttövuotta kohden</t>
  </si>
  <si>
    <t>TOIMIJA 2</t>
  </si>
  <si>
    <t>Vaate 3</t>
  </si>
  <si>
    <t>Vaate 4</t>
  </si>
  <si>
    <t>Vaate 5</t>
  </si>
  <si>
    <t>T-paita</t>
  </si>
  <si>
    <t>Kokintakki</t>
  </si>
  <si>
    <t>Alaosa</t>
  </si>
  <si>
    <t>Päähine</t>
  </si>
  <si>
    <t>Esiliina</t>
  </si>
  <si>
    <t>TOIMIJA 3</t>
  </si>
  <si>
    <t>PKH2 Hoiva</t>
  </si>
  <si>
    <t>Ulkotakki</t>
  </si>
  <si>
    <t>Softshell-takki</t>
  </si>
  <si>
    <t>Collegetakki</t>
  </si>
  <si>
    <t>Irtovuori</t>
  </si>
  <si>
    <t>Polyuretaanin osuus</t>
  </si>
  <si>
    <t>Elastaanin osuus</t>
  </si>
  <si>
    <t>Polyuretaania yhteensä</t>
  </si>
  <si>
    <t>Elastaania yhteensä</t>
  </si>
  <si>
    <t>Polyuretaanin päästökerroin</t>
  </si>
  <si>
    <t>Elastaanin päästökerroin</t>
  </si>
  <si>
    <t>Polyuretaanin hiilijalanjälki</t>
  </si>
  <si>
    <t>Elastaanin hiilijalanjälki</t>
  </si>
  <si>
    <t>Toimijat 1-3</t>
  </si>
  <si>
    <t>Toimia 1</t>
  </si>
  <si>
    <t>Talvivaate 1</t>
  </si>
  <si>
    <t>Tällä välilehdellä lasketaan kustannukset vaiheittain eri vaatteille lähtötietojen mukaan mallinnettujen prosessien aikana. Sivulta ei lähtökohtaisesti ole tarkoitus muuttaa mitään olemassaolevia tietoja, sillä kustannus muodostuu vaatteen hankintahinnan ja painon mukaan, ja nuo tiedot haetaan muilta välilehdiltä. Laskettaessa esimerkiksi toimijan 1 talvivaatteen 1 kustannuksia nykytilassa, laskenta hakee tarpeelliset tiedot soluun B20 kirjoitetun tuotteen nimen perusteella. Mikäli siis haluaa laskea jollekin erihintaiselle ja -painoiselle tuotteelle kustannuksen, voi niistä lisätä tarpeelliset tiedot välilehdille "Lähtötiedot" ja "Lähtötiedot - kustannukset", ja sitten vaihtaa tuotteen nimen tämän välilehden soluun, jossa tuotteen nimi on. 
Skenaarioita voi myös halutessaan täydentää. Esim. skenaarioissa voi tyhjiin ruutuihin kirjoittaa prosessin nimen ja sen alle käyttökertakohtaisen prosessikustannuksen, kuten esimerkiksi kuljetuksen. Laskentaan voi myös lisätä sarakkeita, mikäli tila loppuu kesken. Sellaisia soluja, joihin on kirjoitettu kaava, ei tule tyhjentää, vaan sen sijaan lisätä uusi sarake valitsemalla esimerkiksi sarake N, painamalla hiiren oikeaa näppäintä ja "Insert 1 left".
Punaisella maalatut skenaariot ovat tiedoiltaan puutteellisia. Esim. PKH1 Ruokapalveluiden tapauksessa ei tiedetä vaatteiden vuokra- ja kuljetuskustannuksia. Täyttämällä ne "Lähtötiedot - kustannukset"-välilehdelle voi arvioida nykytilan vaatekohtaista kokonaiskustannusta, ja tarvittaessa tyhjiin soluihin voi lisätä muita mahdollisia kuluja.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</si>
</sst>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d\.m\.yyyy"/>
    <numFmt numFmtId="165" formatCode="0.0"/>
    <numFmt numFmtId="166" formatCode="0.00000"/>
    <numFmt numFmtId="167" formatCode="0.000"/>
    <numFmt numFmtId="168" formatCode="0.0000"/>
    <numFmt numFmtId="169" formatCode="#,##0.00\ [$€-1]"/>
    <numFmt numFmtId="170" formatCode="0.000000"/>
  </numFmts>
  <fonts count="55">
    <font>
      <sz val="10"/>
      <color rgb="FF000000"/>
      <name val="Arial"/>
    </font>
    <font>
      <b/>
      <sz val="12"/>
      <color theme="1"/>
      <name val="Arial"/>
    </font>
    <font>
      <b/>
      <sz val="10"/>
      <color theme="1"/>
      <name val="Arial"/>
    </font>
    <font>
      <sz val="10"/>
      <color theme="1"/>
      <name val="Arial"/>
    </font>
    <font>
      <sz val="10"/>
      <name val="Arial"/>
    </font>
    <font>
      <sz val="20"/>
      <color rgb="FFFFFFFF"/>
      <name val="Arial"/>
    </font>
    <font>
      <sz val="10"/>
      <color rgb="FF666666"/>
      <name val="Arial"/>
    </font>
    <font>
      <b/>
      <sz val="10"/>
      <color rgb="FFFFFFFF"/>
      <name val="Arial"/>
    </font>
    <font>
      <sz val="10"/>
      <color rgb="FF000000"/>
      <name val="Arial"/>
    </font>
    <font>
      <sz val="11"/>
      <color rgb="FF000000"/>
      <name val="Inconsolata"/>
    </font>
    <font>
      <b/>
      <sz val="10"/>
      <color rgb="FF000000"/>
      <name val="Arial"/>
    </font>
    <font>
      <i/>
      <u/>
      <sz val="10"/>
      <color rgb="FF000000"/>
      <name val="Arial"/>
    </font>
    <font>
      <i/>
      <sz val="10"/>
      <color rgb="FF000000"/>
      <name val="Arial"/>
    </font>
    <font>
      <u/>
      <sz val="10"/>
      <color rgb="FF1155CC"/>
      <name val="Arial"/>
    </font>
    <font>
      <u/>
      <sz val="10"/>
      <color rgb="FF1155CC"/>
      <name val="Arial"/>
    </font>
    <font>
      <u/>
      <sz val="10"/>
      <color rgb="FF1155CC"/>
      <name val="Arial"/>
    </font>
    <font>
      <u/>
      <sz val="10"/>
      <color rgb="FF000000"/>
      <name val="Arial"/>
    </font>
    <font>
      <u/>
      <sz val="10"/>
      <color rgb="FF000000"/>
      <name val="Arial"/>
    </font>
    <font>
      <b/>
      <sz val="10"/>
      <color theme="0"/>
      <name val="Arial"/>
    </font>
    <font>
      <sz val="11"/>
      <color rgb="FF000000"/>
      <name val="Arial"/>
    </font>
    <font>
      <i/>
      <sz val="10"/>
      <color theme="1"/>
      <name val="Arial"/>
    </font>
    <font>
      <u/>
      <sz val="10"/>
      <color rgb="FF1155CC"/>
      <name val="Arial"/>
    </font>
    <font>
      <u/>
      <sz val="10"/>
      <color rgb="FF1155CC"/>
      <name val="Arial"/>
    </font>
    <font>
      <u/>
      <sz val="10"/>
      <color rgb="FF1155CC"/>
      <name val="Arial"/>
    </font>
    <font>
      <b/>
      <sz val="10"/>
      <color rgb="FF000000"/>
      <name val="Arial"/>
    </font>
    <font>
      <sz val="10"/>
      <color rgb="FFFFFFFF"/>
      <name val="Arial"/>
    </font>
    <font>
      <sz val="8"/>
      <color rgb="FF000000"/>
      <name val="Arial"/>
    </font>
    <font>
      <b/>
      <sz val="11"/>
      <color rgb="FFFFFFFF"/>
      <name val="Inconsolata"/>
    </font>
    <font>
      <sz val="10"/>
      <color theme="1"/>
      <name val="Arial"/>
    </font>
    <font>
      <b/>
      <sz val="10"/>
      <color rgb="FF548135"/>
      <name val="Arial"/>
    </font>
    <font>
      <b/>
      <sz val="11"/>
      <color rgb="FF548135"/>
      <name val="Inconsolata"/>
    </font>
    <font>
      <b/>
      <sz val="10"/>
      <color theme="1"/>
      <name val="Arial"/>
    </font>
    <font>
      <b/>
      <sz val="9"/>
      <color theme="1"/>
      <name val="Arial"/>
    </font>
    <font>
      <sz val="9"/>
      <color theme="1"/>
      <name val="Arial"/>
    </font>
    <font>
      <u/>
      <sz val="9"/>
      <color rgb="FF1155CC"/>
      <name val="Arial"/>
    </font>
    <font>
      <u/>
      <sz val="9"/>
      <color rgb="FF1155CC"/>
      <name val="Arial"/>
    </font>
    <font>
      <u/>
      <sz val="9"/>
      <color rgb="FF1155CC"/>
      <name val="Arial"/>
    </font>
    <font>
      <u/>
      <sz val="9"/>
      <color rgb="FF1155CC"/>
      <name val="Arial"/>
    </font>
    <font>
      <b/>
      <sz val="8"/>
      <color rgb="FFFFFFFF"/>
      <name val="Arial"/>
    </font>
    <font>
      <b/>
      <sz val="10"/>
      <color theme="1"/>
      <name val="Montserrat"/>
    </font>
    <font>
      <sz val="8"/>
      <color theme="1"/>
      <name val="Arial"/>
    </font>
    <font>
      <b/>
      <sz val="10"/>
      <color rgb="FFFFFFFF"/>
      <name val="Inconsolata"/>
    </font>
    <font>
      <b/>
      <sz val="10"/>
      <color rgb="FFFFFFFF"/>
      <name val="Arial"/>
    </font>
    <font>
      <sz val="9"/>
      <color rgb="FF000000"/>
      <name val="Arial"/>
    </font>
    <font>
      <b/>
      <sz val="9"/>
      <color rgb="FF000000"/>
      <name val="Arial"/>
    </font>
    <font>
      <b/>
      <sz val="10"/>
      <name val="Arial"/>
    </font>
    <font>
      <sz val="10"/>
      <color rgb="FFE91D63"/>
      <name val="Arial"/>
    </font>
    <font>
      <sz val="10"/>
      <color rgb="FF43AAB1"/>
      <name val="Arial"/>
    </font>
    <font>
      <b/>
      <u/>
      <sz val="10"/>
      <name val="Arial"/>
    </font>
    <font>
      <u/>
      <sz val="10"/>
      <name val="Arial"/>
    </font>
    <font>
      <u/>
      <sz val="10"/>
      <color rgb="FF548135"/>
      <name val="Arial"/>
    </font>
    <font>
      <b/>
      <sz val="10"/>
      <color theme="1"/>
      <name val="Arial"/>
      <family val="2"/>
    </font>
    <font>
      <sz val="10"/>
      <name val="Arial"/>
      <family val="2"/>
    </font>
    <font>
      <sz val="10"/>
      <color rgb="FF000000"/>
      <name val="Arial"/>
      <family val="2"/>
    </font>
    <font>
      <b/>
      <sz val="10"/>
      <color rgb="FFFFFFFF"/>
      <name val="Arial"/>
      <family val="2"/>
    </font>
  </fonts>
  <fills count="19">
    <fill>
      <patternFill patternType="none"/>
    </fill>
    <fill>
      <patternFill patternType="gray125"/>
    </fill>
    <fill>
      <patternFill patternType="solid">
        <fgColor rgb="FFE91D63"/>
        <bgColor rgb="FFE91D63"/>
      </patternFill>
    </fill>
    <fill>
      <patternFill patternType="solid">
        <fgColor rgb="FFB6D7A8"/>
        <bgColor rgb="FFB6D7A8"/>
      </patternFill>
    </fill>
    <fill>
      <patternFill patternType="solid">
        <fgColor rgb="FFFFFFFF"/>
        <bgColor rgb="FFFFFFFF"/>
      </patternFill>
    </fill>
    <fill>
      <patternFill patternType="solid">
        <fgColor rgb="FF43AAB1"/>
        <bgColor rgb="FF43AAB1"/>
      </patternFill>
    </fill>
    <fill>
      <patternFill patternType="solid">
        <fgColor rgb="FFCCCCCC"/>
        <bgColor rgb="FFCCCCCC"/>
      </patternFill>
    </fill>
    <fill>
      <patternFill patternType="solid">
        <fgColor rgb="FF9FC5E8"/>
        <bgColor rgb="FF9FC5E8"/>
      </patternFill>
    </fill>
    <fill>
      <patternFill patternType="solid">
        <fgColor rgb="FFD9EAD3"/>
        <bgColor rgb="FFD9EAD3"/>
      </patternFill>
    </fill>
    <fill>
      <patternFill patternType="solid">
        <fgColor rgb="FFA8D08D"/>
        <bgColor rgb="FFA8D08D"/>
      </patternFill>
    </fill>
    <fill>
      <patternFill patternType="solid">
        <fgColor rgb="FFCFE2F3"/>
        <bgColor rgb="FFCFE2F3"/>
      </patternFill>
    </fill>
    <fill>
      <patternFill patternType="solid">
        <fgColor rgb="FF000000"/>
        <bgColor rgb="FF000000"/>
      </patternFill>
    </fill>
    <fill>
      <patternFill patternType="solid">
        <fgColor rgb="FF38761D"/>
        <bgColor rgb="FF38761D"/>
      </patternFill>
    </fill>
    <fill>
      <patternFill patternType="solid">
        <fgColor rgb="FF00FFFF"/>
        <bgColor rgb="FF00FFFF"/>
      </patternFill>
    </fill>
    <fill>
      <patternFill patternType="solid">
        <fgColor rgb="FFB7B7B7"/>
        <bgColor rgb="FFB7B7B7"/>
      </patternFill>
    </fill>
    <fill>
      <patternFill patternType="solid">
        <fgColor rgb="FF548135"/>
        <bgColor rgb="FF548135"/>
      </patternFill>
    </fill>
    <fill>
      <patternFill patternType="solid">
        <fgColor theme="1"/>
        <bgColor theme="1"/>
      </patternFill>
    </fill>
    <fill>
      <patternFill patternType="solid">
        <fgColor rgb="FFE6B8AF"/>
        <bgColor rgb="FFE6B8AF"/>
      </patternFill>
    </fill>
    <fill>
      <patternFill patternType="solid">
        <fgColor rgb="FFC9DAF8"/>
        <bgColor rgb="FFC9DAF8"/>
      </patternFill>
    </fill>
  </fills>
  <borders count="25">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75">
    <xf numFmtId="0" fontId="0" fillId="0" borderId="0" xfId="0" applyFont="1" applyAlignment="1"/>
    <xf numFmtId="0" fontId="2" fillId="0" borderId="0" xfId="0" applyFont="1" applyAlignment="1">
      <alignment horizontal="center"/>
    </xf>
    <xf numFmtId="0" fontId="6" fillId="0" borderId="0" xfId="0" applyFont="1"/>
    <xf numFmtId="0" fontId="7" fillId="0" borderId="0" xfId="0" applyFont="1" applyAlignment="1">
      <alignment horizontal="center"/>
    </xf>
    <xf numFmtId="0" fontId="7" fillId="2" borderId="0" xfId="0" applyFont="1" applyFill="1" applyAlignment="1">
      <alignment horizontal="center"/>
    </xf>
    <xf numFmtId="0" fontId="2" fillId="0" borderId="0" xfId="0" applyFont="1" applyAlignment="1"/>
    <xf numFmtId="165" fontId="3" fillId="0" borderId="0" xfId="0" applyNumberFormat="1" applyFont="1" applyAlignment="1">
      <alignment horizontal="center"/>
    </xf>
    <xf numFmtId="2" fontId="3" fillId="0" borderId="0" xfId="0" applyNumberFormat="1" applyFont="1"/>
    <xf numFmtId="1" fontId="3" fillId="0" borderId="0" xfId="0" applyNumberFormat="1" applyFont="1" applyAlignment="1">
      <alignment horizontal="center"/>
    </xf>
    <xf numFmtId="0" fontId="3" fillId="0" borderId="0" xfId="0" applyFont="1" applyAlignment="1"/>
    <xf numFmtId="165" fontId="3" fillId="0" borderId="0" xfId="0" applyNumberFormat="1" applyFont="1" applyAlignment="1">
      <alignment horizontal="center"/>
    </xf>
    <xf numFmtId="165" fontId="8" fillId="0" borderId="0" xfId="0" applyNumberFormat="1" applyFont="1" applyAlignment="1">
      <alignment horizontal="center"/>
    </xf>
    <xf numFmtId="0" fontId="9" fillId="4" borderId="0" xfId="0" applyFont="1" applyFill="1" applyAlignment="1"/>
    <xf numFmtId="0" fontId="3" fillId="0" borderId="0" xfId="0" applyFont="1" applyAlignment="1">
      <alignment horizontal="center"/>
    </xf>
    <xf numFmtId="0" fontId="2" fillId="0" borderId="0" xfId="0" applyFont="1"/>
    <xf numFmtId="0" fontId="7" fillId="2" borderId="0" xfId="0" applyFont="1" applyFill="1" applyAlignment="1"/>
    <xf numFmtId="0" fontId="3" fillId="0" borderId="0" xfId="0" applyFont="1" applyAlignment="1">
      <alignment horizontal="center"/>
    </xf>
    <xf numFmtId="0" fontId="3" fillId="0" borderId="0" xfId="0" applyFont="1" applyAlignment="1">
      <alignment horizontal="center"/>
    </xf>
    <xf numFmtId="0" fontId="8" fillId="0" borderId="0" xfId="0" applyFont="1" applyAlignment="1">
      <alignment horizontal="center"/>
    </xf>
    <xf numFmtId="1" fontId="3" fillId="0" borderId="0" xfId="0" applyNumberFormat="1" applyFont="1" applyAlignment="1">
      <alignment horizontal="center"/>
    </xf>
    <xf numFmtId="0" fontId="13" fillId="0" borderId="0" xfId="0" applyFont="1" applyAlignment="1">
      <alignment horizontal="center"/>
    </xf>
    <xf numFmtId="0" fontId="7" fillId="0" borderId="0" xfId="0" applyFont="1" applyAlignment="1"/>
    <xf numFmtId="0" fontId="3" fillId="0" borderId="0" xfId="0" applyFont="1" applyAlignment="1">
      <alignment horizontal="left"/>
    </xf>
    <xf numFmtId="0" fontId="3" fillId="0" borderId="0" xfId="0" applyFont="1" applyAlignment="1">
      <alignment horizontal="center"/>
    </xf>
    <xf numFmtId="0" fontId="3" fillId="0" borderId="0" xfId="0" applyFont="1" applyAlignment="1"/>
    <xf numFmtId="0" fontId="3" fillId="0" borderId="0" xfId="0" applyFont="1" applyAlignment="1"/>
    <xf numFmtId="0" fontId="3" fillId="0" borderId="0" xfId="0" applyFont="1"/>
    <xf numFmtId="0" fontId="7" fillId="0" borderId="0" xfId="0" applyFont="1" applyAlignment="1"/>
    <xf numFmtId="0" fontId="7" fillId="0" borderId="0" xfId="0" applyFont="1" applyAlignment="1">
      <alignment horizontal="center"/>
    </xf>
    <xf numFmtId="0" fontId="2" fillId="0" borderId="0" xfId="0" applyFont="1" applyAlignment="1">
      <alignment horizontal="center"/>
    </xf>
    <xf numFmtId="0" fontId="2" fillId="0" borderId="0" xfId="0" applyFont="1" applyAlignment="1">
      <alignment horizontal="center" wrapText="1"/>
    </xf>
    <xf numFmtId="0" fontId="3" fillId="10" borderId="0" xfId="0" applyFont="1" applyFill="1" applyAlignment="1">
      <alignment horizontal="center"/>
    </xf>
    <xf numFmtId="0" fontId="3" fillId="10" borderId="0" xfId="0" applyFont="1" applyFill="1"/>
    <xf numFmtId="2" fontId="3" fillId="0" borderId="0" xfId="0" applyNumberFormat="1" applyFont="1" applyAlignment="1">
      <alignment horizontal="center"/>
    </xf>
    <xf numFmtId="2" fontId="23" fillId="0" borderId="0" xfId="0" applyNumberFormat="1" applyFont="1" applyAlignment="1">
      <alignment horizontal="center"/>
    </xf>
    <xf numFmtId="0" fontId="8" fillId="0" borderId="0" xfId="0" applyFont="1" applyAlignment="1">
      <alignment horizontal="center"/>
    </xf>
    <xf numFmtId="2" fontId="3" fillId="4" borderId="0" xfId="0" applyNumberFormat="1" applyFont="1" applyFill="1" applyAlignment="1">
      <alignment horizontal="center"/>
    </xf>
    <xf numFmtId="0" fontId="7" fillId="0" borderId="0" xfId="0" applyFont="1" applyAlignment="1">
      <alignment horizontal="left" vertical="center"/>
    </xf>
    <xf numFmtId="165" fontId="7" fillId="0" borderId="0" xfId="0" applyNumberFormat="1" applyFont="1" applyAlignment="1">
      <alignment horizontal="center" vertical="center"/>
    </xf>
    <xf numFmtId="165" fontId="7" fillId="0" borderId="0" xfId="0" applyNumberFormat="1" applyFont="1" applyAlignment="1">
      <alignment horizontal="center"/>
    </xf>
    <xf numFmtId="0" fontId="7" fillId="0" borderId="0" xfId="0" applyFont="1" applyAlignment="1">
      <alignment horizontal="center" vertical="center"/>
    </xf>
    <xf numFmtId="165" fontId="7" fillId="2" borderId="0" xfId="0" applyNumberFormat="1" applyFont="1" applyFill="1" applyAlignment="1">
      <alignment horizontal="center" vertical="center"/>
    </xf>
    <xf numFmtId="0" fontId="7" fillId="11" borderId="23" xfId="0" applyFont="1" applyFill="1" applyBorder="1" applyAlignment="1">
      <alignment horizontal="center"/>
    </xf>
    <xf numFmtId="165" fontId="7" fillId="11" borderId="4" xfId="0" applyNumberFormat="1" applyFont="1" applyFill="1" applyBorder="1" applyAlignment="1">
      <alignment horizontal="center"/>
    </xf>
    <xf numFmtId="0" fontId="7" fillId="12" borderId="4" xfId="0" applyFont="1" applyFill="1" applyBorder="1" applyAlignment="1">
      <alignment horizontal="center"/>
    </xf>
    <xf numFmtId="165" fontId="7" fillId="11" borderId="0" xfId="0" applyNumberFormat="1" applyFont="1" applyFill="1" applyAlignment="1">
      <alignment horizontal="center"/>
    </xf>
    <xf numFmtId="10" fontId="7" fillId="12" borderId="4" xfId="0" applyNumberFormat="1" applyFont="1" applyFill="1" applyBorder="1" applyAlignment="1">
      <alignment horizontal="center"/>
    </xf>
    <xf numFmtId="165" fontId="2" fillId="0" borderId="0" xfId="0" applyNumberFormat="1" applyFont="1" applyAlignment="1">
      <alignment horizontal="center"/>
    </xf>
    <xf numFmtId="0" fontId="3" fillId="0" borderId="0" xfId="0" applyFont="1" applyAlignment="1">
      <alignment horizontal="right"/>
    </xf>
    <xf numFmtId="1" fontId="3" fillId="0" borderId="23" xfId="0" applyNumberFormat="1" applyFont="1" applyBorder="1" applyAlignment="1">
      <alignment horizontal="center"/>
    </xf>
    <xf numFmtId="1" fontId="3" fillId="0" borderId="4" xfId="0" applyNumberFormat="1" applyFont="1" applyBorder="1" applyAlignment="1">
      <alignment horizontal="center"/>
    </xf>
    <xf numFmtId="0" fontId="2" fillId="0" borderId="0" xfId="0" applyFont="1" applyAlignment="1">
      <alignment horizontal="right"/>
    </xf>
    <xf numFmtId="1" fontId="2" fillId="0" borderId="0" xfId="0" applyNumberFormat="1" applyFont="1" applyAlignment="1">
      <alignment horizontal="center"/>
    </xf>
    <xf numFmtId="1" fontId="2" fillId="0" borderId="0" xfId="0" applyNumberFormat="1" applyFont="1" applyAlignment="1">
      <alignment horizontal="center"/>
    </xf>
    <xf numFmtId="1" fontId="24" fillId="0" borderId="0" xfId="0" applyNumberFormat="1" applyFont="1" applyAlignment="1">
      <alignment horizontal="center"/>
    </xf>
    <xf numFmtId="1" fontId="2" fillId="0" borderId="23" xfId="0" applyNumberFormat="1" applyFont="1" applyBorder="1" applyAlignment="1">
      <alignment horizontal="center"/>
    </xf>
    <xf numFmtId="1" fontId="2" fillId="0" borderId="4" xfId="0" applyNumberFormat="1" applyFont="1" applyBorder="1" applyAlignment="1">
      <alignment horizontal="center"/>
    </xf>
    <xf numFmtId="165" fontId="2" fillId="0" borderId="0" xfId="0" applyNumberFormat="1" applyFont="1" applyAlignment="1">
      <alignment horizontal="center"/>
    </xf>
    <xf numFmtId="0" fontId="7" fillId="12" borderId="0" xfId="0" applyFont="1" applyFill="1" applyAlignment="1">
      <alignment horizontal="right"/>
    </xf>
    <xf numFmtId="0" fontId="2" fillId="0" borderId="0" xfId="0" applyFont="1" applyAlignment="1">
      <alignment horizontal="center"/>
    </xf>
    <xf numFmtId="1" fontId="7" fillId="12" borderId="0" xfId="0" applyNumberFormat="1" applyFont="1" applyFill="1" applyAlignment="1">
      <alignment horizontal="center"/>
    </xf>
    <xf numFmtId="165" fontId="7" fillId="12" borderId="0" xfId="0" applyNumberFormat="1" applyFont="1" applyFill="1" applyAlignment="1">
      <alignment horizontal="center"/>
    </xf>
    <xf numFmtId="1" fontId="2" fillId="0" borderId="23" xfId="0" applyNumberFormat="1" applyFont="1" applyBorder="1" applyAlignment="1">
      <alignment horizontal="center"/>
    </xf>
    <xf numFmtId="1" fontId="2" fillId="0" borderId="4" xfId="0" applyNumberFormat="1" applyFont="1" applyBorder="1" applyAlignment="1">
      <alignment horizontal="center"/>
    </xf>
    <xf numFmtId="2" fontId="2" fillId="0" borderId="0" xfId="0" applyNumberFormat="1" applyFont="1" applyAlignment="1">
      <alignment horizontal="center"/>
    </xf>
    <xf numFmtId="1" fontId="2" fillId="13" borderId="0" xfId="0" applyNumberFormat="1" applyFont="1" applyFill="1" applyAlignment="1">
      <alignment horizontal="center"/>
    </xf>
    <xf numFmtId="1" fontId="24" fillId="13" borderId="0" xfId="0" applyNumberFormat="1" applyFont="1" applyFill="1" applyAlignment="1">
      <alignment horizontal="center"/>
    </xf>
    <xf numFmtId="0" fontId="3" fillId="0" borderId="23" xfId="0" applyFont="1" applyBorder="1" applyAlignment="1">
      <alignment horizontal="center"/>
    </xf>
    <xf numFmtId="0" fontId="3" fillId="0" borderId="4" xfId="0" applyFont="1" applyBorder="1" applyAlignment="1">
      <alignment horizontal="center"/>
    </xf>
    <xf numFmtId="165" fontId="7" fillId="2" borderId="0" xfId="0" applyNumberFormat="1" applyFont="1" applyFill="1" applyAlignment="1">
      <alignment horizontal="center"/>
    </xf>
    <xf numFmtId="0" fontId="7" fillId="0" borderId="4" xfId="0" applyFont="1" applyBorder="1" applyAlignment="1">
      <alignment horizontal="center"/>
    </xf>
    <xf numFmtId="0" fontId="2" fillId="0" borderId="23" xfId="0" applyFont="1" applyBorder="1" applyAlignment="1">
      <alignment horizontal="center"/>
    </xf>
    <xf numFmtId="0" fontId="2" fillId="0" borderId="4" xfId="0" applyFont="1" applyBorder="1" applyAlignment="1">
      <alignment horizontal="center"/>
    </xf>
    <xf numFmtId="0" fontId="25" fillId="0" borderId="0" xfId="0" applyFont="1" applyAlignment="1">
      <alignment horizontal="center"/>
    </xf>
    <xf numFmtId="1" fontId="8" fillId="0" borderId="0" xfId="0" applyNumberFormat="1" applyFont="1" applyAlignment="1">
      <alignment horizontal="center"/>
    </xf>
    <xf numFmtId="1" fontId="24" fillId="0" borderId="23" xfId="0" applyNumberFormat="1" applyFont="1" applyBorder="1" applyAlignment="1">
      <alignment horizontal="center"/>
    </xf>
    <xf numFmtId="165" fontId="24" fillId="0" borderId="0" xfId="0" applyNumberFormat="1" applyFont="1" applyAlignment="1">
      <alignment horizontal="center"/>
    </xf>
    <xf numFmtId="1" fontId="24" fillId="0" borderId="4" xfId="0" applyNumberFormat="1" applyFont="1" applyBorder="1" applyAlignment="1">
      <alignment horizontal="center"/>
    </xf>
    <xf numFmtId="2" fontId="24" fillId="0" borderId="0" xfId="0" applyNumberFormat="1" applyFont="1" applyAlignment="1">
      <alignment horizontal="center" vertical="center"/>
    </xf>
    <xf numFmtId="0" fontId="7" fillId="0" borderId="23" xfId="0" applyFont="1" applyBorder="1" applyAlignment="1">
      <alignment horizontal="center"/>
    </xf>
    <xf numFmtId="1" fontId="3" fillId="0" borderId="23" xfId="0" applyNumberFormat="1" applyFont="1" applyBorder="1" applyAlignment="1">
      <alignment horizontal="center"/>
    </xf>
    <xf numFmtId="1" fontId="3" fillId="0" borderId="4" xfId="0" applyNumberFormat="1" applyFont="1" applyBorder="1" applyAlignment="1">
      <alignment horizontal="center"/>
    </xf>
    <xf numFmtId="165" fontId="7" fillId="5" borderId="0" xfId="0" applyNumberFormat="1" applyFont="1" applyFill="1" applyAlignment="1">
      <alignment horizontal="center"/>
    </xf>
    <xf numFmtId="1" fontId="7" fillId="11" borderId="23" xfId="0" applyNumberFormat="1" applyFont="1" applyFill="1" applyBorder="1" applyAlignment="1">
      <alignment horizontal="center"/>
    </xf>
    <xf numFmtId="1" fontId="7" fillId="0" borderId="4" xfId="0" applyNumberFormat="1" applyFont="1" applyBorder="1" applyAlignment="1">
      <alignment horizontal="center"/>
    </xf>
    <xf numFmtId="0" fontId="2" fillId="0" borderId="23" xfId="0" applyFont="1" applyBorder="1" applyAlignment="1">
      <alignment horizontal="center"/>
    </xf>
    <xf numFmtId="0" fontId="2" fillId="0" borderId="4" xfId="0" applyFont="1" applyBorder="1" applyAlignment="1">
      <alignment horizontal="center"/>
    </xf>
    <xf numFmtId="1" fontId="2" fillId="13" borderId="0" xfId="0" applyNumberFormat="1" applyFont="1" applyFill="1" applyAlignment="1">
      <alignment horizontal="center"/>
    </xf>
    <xf numFmtId="165" fontId="7" fillId="12" borderId="0" xfId="0" applyNumberFormat="1" applyFont="1" applyFill="1" applyAlignment="1">
      <alignment horizontal="center"/>
    </xf>
    <xf numFmtId="1" fontId="3" fillId="0" borderId="0" xfId="0" applyNumberFormat="1" applyFont="1"/>
    <xf numFmtId="167" fontId="2" fillId="0" borderId="0" xfId="0" applyNumberFormat="1" applyFont="1" applyAlignment="1">
      <alignment horizontal="center"/>
    </xf>
    <xf numFmtId="167" fontId="2" fillId="0" borderId="0" xfId="0" applyNumberFormat="1" applyFont="1" applyAlignment="1">
      <alignment horizontal="center"/>
    </xf>
    <xf numFmtId="165" fontId="3" fillId="0" borderId="0" xfId="0" applyNumberFormat="1" applyFont="1"/>
    <xf numFmtId="0" fontId="3" fillId="0" borderId="23" xfId="0" applyFont="1" applyBorder="1"/>
    <xf numFmtId="0" fontId="3" fillId="0" borderId="4" xfId="0" applyFont="1" applyBorder="1"/>
    <xf numFmtId="2" fontId="2" fillId="0" borderId="0" xfId="0" applyNumberFormat="1" applyFont="1" applyAlignment="1">
      <alignment horizontal="center"/>
    </xf>
    <xf numFmtId="1" fontId="3" fillId="13" borderId="0" xfId="0" applyNumberFormat="1" applyFont="1" applyFill="1" applyAlignment="1">
      <alignment horizontal="center"/>
    </xf>
    <xf numFmtId="166" fontId="2" fillId="0" borderId="0" xfId="0" applyNumberFormat="1" applyFont="1" applyAlignment="1">
      <alignment horizontal="center"/>
    </xf>
    <xf numFmtId="168" fontId="2" fillId="0" borderId="0" xfId="0" applyNumberFormat="1" applyFont="1" applyAlignment="1">
      <alignment horizontal="center"/>
    </xf>
    <xf numFmtId="168" fontId="2" fillId="0" borderId="0" xfId="0" applyNumberFormat="1" applyFont="1" applyAlignment="1">
      <alignment horizontal="center"/>
    </xf>
    <xf numFmtId="168" fontId="7" fillId="0" borderId="0" xfId="0" applyNumberFormat="1" applyFont="1" applyAlignment="1">
      <alignment horizontal="left"/>
    </xf>
    <xf numFmtId="2" fontId="7" fillId="0" borderId="0" xfId="0" applyNumberFormat="1" applyFont="1" applyAlignment="1">
      <alignment horizontal="left"/>
    </xf>
    <xf numFmtId="2" fontId="7" fillId="0" borderId="0" xfId="0" applyNumberFormat="1" applyFont="1" applyAlignment="1">
      <alignment horizontal="center" vertical="center" wrapText="1"/>
    </xf>
    <xf numFmtId="0" fontId="3" fillId="0" borderId="0" xfId="0" applyFont="1" applyAlignment="1">
      <alignment wrapText="1"/>
    </xf>
    <xf numFmtId="2" fontId="7" fillId="0" borderId="0" xfId="0" applyNumberFormat="1" applyFont="1" applyAlignment="1">
      <alignment horizontal="center"/>
    </xf>
    <xf numFmtId="0" fontId="26" fillId="0" borderId="0" xfId="0" applyFont="1" applyAlignment="1">
      <alignment horizontal="center" vertical="center" wrapText="1"/>
    </xf>
    <xf numFmtId="168" fontId="24" fillId="0" borderId="0" xfId="0" applyNumberFormat="1" applyFont="1" applyAlignment="1">
      <alignment horizontal="left"/>
    </xf>
    <xf numFmtId="0" fontId="24" fillId="0" borderId="0" xfId="0" applyFont="1" applyAlignment="1">
      <alignment horizontal="center" vertical="center" wrapText="1"/>
    </xf>
    <xf numFmtId="0" fontId="7" fillId="0" borderId="0" xfId="0" applyFont="1" applyAlignment="1">
      <alignment horizontal="center" vertical="center" wrapText="1"/>
    </xf>
    <xf numFmtId="0" fontId="24" fillId="0" borderId="0" xfId="0" applyFont="1" applyAlignment="1">
      <alignment horizontal="left" vertical="center" wrapText="1"/>
    </xf>
    <xf numFmtId="0" fontId="3" fillId="2" borderId="0" xfId="0" applyFont="1" applyFill="1"/>
    <xf numFmtId="2" fontId="3" fillId="11" borderId="0" xfId="0" applyNumberFormat="1" applyFont="1" applyFill="1" applyAlignment="1">
      <alignment horizontal="center"/>
    </xf>
    <xf numFmtId="0" fontId="7" fillId="2" borderId="0" xfId="0" applyFont="1" applyFill="1" applyAlignment="1">
      <alignment horizontal="center" vertical="center" wrapText="1"/>
    </xf>
    <xf numFmtId="168" fontId="7" fillId="2" borderId="0" xfId="0" applyNumberFormat="1" applyFont="1" applyFill="1" applyAlignment="1">
      <alignment horizontal="left" vertical="center"/>
    </xf>
    <xf numFmtId="168" fontId="7" fillId="2" borderId="0" xfId="0" applyNumberFormat="1" applyFont="1" applyFill="1" applyAlignment="1">
      <alignment horizontal="left" wrapText="1"/>
    </xf>
    <xf numFmtId="168" fontId="7" fillId="2" borderId="0" xfId="0" applyNumberFormat="1" applyFont="1" applyFill="1" applyAlignment="1">
      <alignment horizontal="left"/>
    </xf>
    <xf numFmtId="2" fontId="7" fillId="2" borderId="0" xfId="0" applyNumberFormat="1" applyFont="1" applyFill="1" applyAlignment="1">
      <alignment horizontal="center" vertical="center" wrapText="1"/>
    </xf>
    <xf numFmtId="2" fontId="7" fillId="2" borderId="0" xfId="0" applyNumberFormat="1" applyFont="1" applyFill="1" applyAlignment="1">
      <alignment horizontal="center" vertical="center" wrapText="1"/>
    </xf>
    <xf numFmtId="2" fontId="7" fillId="11" borderId="0" xfId="0" applyNumberFormat="1" applyFont="1" applyFill="1" applyAlignment="1">
      <alignment horizontal="center" vertical="center" wrapText="1"/>
    </xf>
    <xf numFmtId="168" fontId="2" fillId="0" borderId="0" xfId="0" applyNumberFormat="1" applyFont="1" applyAlignment="1">
      <alignment horizontal="center" wrapText="1"/>
    </xf>
    <xf numFmtId="168" fontId="2" fillId="0" borderId="0" xfId="0" applyNumberFormat="1" applyFont="1" applyAlignment="1">
      <alignment horizontal="center" wrapText="1"/>
    </xf>
    <xf numFmtId="2" fontId="7" fillId="2" borderId="0" xfId="0" applyNumberFormat="1" applyFont="1" applyFill="1" applyAlignment="1">
      <alignment horizontal="center" vertical="center"/>
    </xf>
    <xf numFmtId="168" fontId="7" fillId="2" borderId="0" xfId="0" applyNumberFormat="1" applyFont="1" applyFill="1" applyAlignment="1">
      <alignment horizontal="center" vertical="center" wrapText="1"/>
    </xf>
    <xf numFmtId="2" fontId="7" fillId="11" borderId="0" xfId="0" applyNumberFormat="1" applyFont="1" applyFill="1" applyAlignment="1">
      <alignment horizontal="center" vertical="center" wrapText="1"/>
    </xf>
    <xf numFmtId="0" fontId="7" fillId="11" borderId="0" xfId="0" applyFont="1" applyFill="1" applyAlignment="1">
      <alignment horizontal="center" vertical="center" wrapText="1"/>
    </xf>
    <xf numFmtId="168" fontId="27" fillId="11" borderId="0" xfId="0" applyNumberFormat="1" applyFont="1" applyFill="1" applyAlignment="1">
      <alignment horizontal="center" vertical="center" wrapText="1"/>
    </xf>
    <xf numFmtId="168" fontId="7" fillId="11" borderId="0" xfId="0" applyNumberFormat="1" applyFont="1" applyFill="1" applyAlignment="1">
      <alignment horizontal="center" vertical="center"/>
    </xf>
    <xf numFmtId="169" fontId="28" fillId="0" borderId="0" xfId="0" applyNumberFormat="1" applyFont="1" applyAlignment="1">
      <alignment horizontal="center" vertical="center"/>
    </xf>
    <xf numFmtId="169" fontId="0" fillId="4" borderId="0" xfId="0" applyNumberFormat="1" applyFont="1" applyFill="1" applyAlignment="1">
      <alignment horizontal="center" vertical="center"/>
    </xf>
    <xf numFmtId="169" fontId="28" fillId="0" borderId="0" xfId="0" applyNumberFormat="1" applyFont="1" applyAlignment="1">
      <alignment horizontal="center" vertical="center"/>
    </xf>
    <xf numFmtId="169" fontId="0" fillId="0" borderId="0" xfId="0" applyNumberFormat="1" applyFont="1" applyAlignment="1">
      <alignment horizontal="center"/>
    </xf>
    <xf numFmtId="169" fontId="3" fillId="0" borderId="0" xfId="0" applyNumberFormat="1" applyFont="1" applyAlignment="1">
      <alignment horizontal="center"/>
    </xf>
    <xf numFmtId="169" fontId="2" fillId="0" borderId="0" xfId="0" applyNumberFormat="1" applyFont="1" applyAlignment="1">
      <alignment horizontal="center" vertical="center" wrapText="1"/>
    </xf>
    <xf numFmtId="169" fontId="3" fillId="0" borderId="0" xfId="0" applyNumberFormat="1" applyFont="1" applyAlignment="1">
      <alignment horizontal="center" wrapText="1"/>
    </xf>
    <xf numFmtId="9" fontId="3" fillId="0" borderId="0" xfId="0" applyNumberFormat="1" applyFont="1" applyAlignment="1">
      <alignment horizontal="center"/>
    </xf>
    <xf numFmtId="169" fontId="3" fillId="0" borderId="0" xfId="0" applyNumberFormat="1" applyFont="1" applyAlignment="1">
      <alignment horizontal="center"/>
    </xf>
    <xf numFmtId="169" fontId="3" fillId="0" borderId="0" xfId="0" applyNumberFormat="1" applyFont="1" applyAlignment="1">
      <alignment wrapText="1"/>
    </xf>
    <xf numFmtId="9" fontId="3" fillId="0" borderId="0" xfId="0" applyNumberFormat="1" applyFont="1"/>
    <xf numFmtId="0" fontId="3" fillId="14" borderId="0" xfId="0" applyFont="1" applyFill="1" applyAlignment="1">
      <alignment horizontal="center"/>
    </xf>
    <xf numFmtId="169" fontId="0" fillId="14" borderId="0" xfId="0" applyNumberFormat="1" applyFont="1" applyFill="1" applyAlignment="1">
      <alignment horizontal="center" vertical="center"/>
    </xf>
    <xf numFmtId="169" fontId="28" fillId="14" borderId="0" xfId="0" applyNumberFormat="1" applyFont="1" applyFill="1" applyAlignment="1">
      <alignment horizontal="center" vertical="center"/>
    </xf>
    <xf numFmtId="169" fontId="0" fillId="14" borderId="0" xfId="0" applyNumberFormat="1" applyFont="1" applyFill="1" applyAlignment="1">
      <alignment horizontal="center"/>
    </xf>
    <xf numFmtId="169" fontId="3" fillId="14" borderId="0" xfId="0" applyNumberFormat="1" applyFont="1" applyFill="1" applyAlignment="1">
      <alignment horizontal="center"/>
    </xf>
    <xf numFmtId="169" fontId="9" fillId="14" borderId="0" xfId="0" applyNumberFormat="1" applyFont="1" applyFill="1" applyAlignment="1">
      <alignment horizontal="center"/>
    </xf>
    <xf numFmtId="9" fontId="3" fillId="14" borderId="0" xfId="0" applyNumberFormat="1" applyFont="1" applyFill="1" applyAlignment="1">
      <alignment horizontal="center"/>
    </xf>
    <xf numFmtId="169" fontId="3" fillId="14" borderId="0" xfId="0" applyNumberFormat="1" applyFont="1" applyFill="1" applyAlignment="1">
      <alignment horizontal="center"/>
    </xf>
    <xf numFmtId="169" fontId="3" fillId="14" borderId="0" xfId="0" applyNumberFormat="1" applyFont="1" applyFill="1" applyAlignment="1">
      <alignment wrapText="1"/>
    </xf>
    <xf numFmtId="9" fontId="3" fillId="14" borderId="0" xfId="0" applyNumberFormat="1" applyFont="1" applyFill="1"/>
    <xf numFmtId="169" fontId="0" fillId="4" borderId="0" xfId="0" applyNumberFormat="1" applyFont="1" applyFill="1" applyAlignment="1">
      <alignment horizontal="center"/>
    </xf>
    <xf numFmtId="169" fontId="9" fillId="4" borderId="0" xfId="0" applyNumberFormat="1" applyFont="1" applyFill="1" applyAlignment="1">
      <alignment horizontal="center"/>
    </xf>
    <xf numFmtId="169" fontId="3" fillId="0" borderId="0" xfId="0" applyNumberFormat="1" applyFont="1" applyAlignment="1">
      <alignment horizontal="center"/>
    </xf>
    <xf numFmtId="168" fontId="24" fillId="0" borderId="0" xfId="0" applyNumberFormat="1" applyFont="1" applyAlignment="1">
      <alignment horizontal="center"/>
    </xf>
    <xf numFmtId="168" fontId="3" fillId="0" borderId="0" xfId="0" applyNumberFormat="1" applyFont="1"/>
    <xf numFmtId="2" fontId="2" fillId="0" borderId="0" xfId="0" applyNumberFormat="1" applyFont="1" applyAlignment="1">
      <alignment horizontal="center" vertical="center" wrapText="1"/>
    </xf>
    <xf numFmtId="168" fontId="7" fillId="0" borderId="0" xfId="0" applyNumberFormat="1" applyFont="1" applyAlignment="1">
      <alignment horizontal="center"/>
    </xf>
    <xf numFmtId="2" fontId="7" fillId="0" borderId="0" xfId="0" applyNumberFormat="1" applyFont="1" applyAlignment="1">
      <alignment horizontal="center" vertical="center" wrapText="1"/>
    </xf>
    <xf numFmtId="168" fontId="7" fillId="15" borderId="0" xfId="0" applyNumberFormat="1" applyFont="1" applyFill="1" applyAlignment="1">
      <alignment horizontal="left" wrapText="1"/>
    </xf>
    <xf numFmtId="165" fontId="7" fillId="15" borderId="0" xfId="0" applyNumberFormat="1" applyFont="1" applyFill="1" applyAlignment="1">
      <alignment horizontal="center" vertical="center"/>
    </xf>
    <xf numFmtId="168" fontId="29" fillId="15" borderId="0" xfId="0" applyNumberFormat="1" applyFont="1" applyFill="1" applyAlignment="1">
      <alignment horizontal="left" wrapText="1"/>
    </xf>
    <xf numFmtId="168" fontId="30" fillId="15" borderId="0" xfId="0" applyNumberFormat="1" applyFont="1" applyFill="1"/>
    <xf numFmtId="2" fontId="7" fillId="0" borderId="0" xfId="0" applyNumberFormat="1" applyFont="1" applyAlignment="1">
      <alignment horizontal="center" wrapText="1"/>
    </xf>
    <xf numFmtId="0" fontId="7" fillId="0" borderId="0" xfId="0" applyFont="1" applyAlignment="1">
      <alignment wrapText="1"/>
    </xf>
    <xf numFmtId="2" fontId="7" fillId="15" borderId="0" xfId="0" applyNumberFormat="1" applyFont="1" applyFill="1" applyAlignment="1">
      <alignment horizontal="center" vertical="center"/>
    </xf>
    <xf numFmtId="169" fontId="28" fillId="0" borderId="0" xfId="0" applyNumberFormat="1" applyFont="1" applyAlignment="1">
      <alignment horizontal="center"/>
    </xf>
    <xf numFmtId="169" fontId="0" fillId="0" borderId="0" xfId="0" applyNumberFormat="1" applyFont="1" applyAlignment="1">
      <alignment horizontal="center"/>
    </xf>
    <xf numFmtId="0" fontId="9" fillId="4" borderId="0" xfId="0" applyFont="1" applyFill="1"/>
    <xf numFmtId="168" fontId="31" fillId="0" borderId="0" xfId="0" applyNumberFormat="1" applyFont="1" applyAlignment="1">
      <alignment horizontal="center"/>
    </xf>
    <xf numFmtId="168" fontId="10" fillId="0" borderId="0" xfId="0" applyNumberFormat="1" applyFont="1" applyAlignment="1">
      <alignment horizontal="center"/>
    </xf>
    <xf numFmtId="168" fontId="28" fillId="0" borderId="0" xfId="0" applyNumberFormat="1" applyFont="1" applyAlignment="1">
      <alignment horizontal="center"/>
    </xf>
    <xf numFmtId="168" fontId="9" fillId="4" borderId="0" xfId="0" applyNumberFormat="1" applyFont="1" applyFill="1"/>
    <xf numFmtId="168" fontId="9" fillId="0" borderId="0" xfId="0" applyNumberFormat="1" applyFont="1" applyAlignment="1">
      <alignment horizontal="center"/>
    </xf>
    <xf numFmtId="168" fontId="3" fillId="0" borderId="0" xfId="0" applyNumberFormat="1" applyFont="1" applyAlignment="1">
      <alignment horizontal="center"/>
    </xf>
    <xf numFmtId="168" fontId="30" fillId="15" borderId="0" xfId="0" applyNumberFormat="1" applyFont="1" applyFill="1" applyAlignment="1">
      <alignment wrapText="1"/>
    </xf>
    <xf numFmtId="0" fontId="2" fillId="0" borderId="0" xfId="0" applyFont="1" applyAlignment="1">
      <alignment horizontal="left" wrapText="1"/>
    </xf>
    <xf numFmtId="168" fontId="9" fillId="4" borderId="0" xfId="0" applyNumberFormat="1" applyFont="1" applyFill="1" applyAlignment="1">
      <alignment horizontal="center"/>
    </xf>
    <xf numFmtId="168" fontId="2" fillId="0" borderId="0" xfId="0" applyNumberFormat="1" applyFont="1" applyAlignment="1">
      <alignment horizontal="center" vertical="center"/>
    </xf>
    <xf numFmtId="2" fontId="2" fillId="0" borderId="0" xfId="0" applyNumberFormat="1" applyFont="1" applyAlignment="1">
      <alignment horizontal="center" wrapText="1"/>
    </xf>
    <xf numFmtId="168" fontId="7" fillId="15" borderId="0" xfId="0" applyNumberFormat="1" applyFont="1" applyFill="1" applyAlignment="1">
      <alignment horizontal="left"/>
    </xf>
    <xf numFmtId="168" fontId="7" fillId="15" borderId="0" xfId="0" applyNumberFormat="1" applyFont="1" applyFill="1" applyAlignment="1"/>
    <xf numFmtId="2" fontId="3" fillId="15" borderId="0" xfId="0" applyNumberFormat="1" applyFont="1" applyFill="1" applyAlignment="1">
      <alignment horizontal="center"/>
    </xf>
    <xf numFmtId="169" fontId="28" fillId="0" borderId="0" xfId="0" applyNumberFormat="1" applyFont="1" applyAlignment="1">
      <alignment horizontal="center"/>
    </xf>
    <xf numFmtId="2" fontId="3" fillId="0" borderId="0" xfId="0" applyNumberFormat="1" applyFont="1" applyAlignment="1">
      <alignment horizontal="center"/>
    </xf>
    <xf numFmtId="168" fontId="29" fillId="15" borderId="0" xfId="0" applyNumberFormat="1" applyFont="1" applyFill="1" applyAlignment="1">
      <alignment horizontal="left"/>
    </xf>
    <xf numFmtId="168" fontId="29" fillId="15" borderId="0" xfId="0" applyNumberFormat="1" applyFont="1" applyFill="1" applyAlignment="1"/>
    <xf numFmtId="169" fontId="3" fillId="0" borderId="0" xfId="0" applyNumberFormat="1" applyFont="1"/>
    <xf numFmtId="169" fontId="9" fillId="0" borderId="0" xfId="0" applyNumberFormat="1" applyFont="1" applyAlignment="1">
      <alignment horizontal="center"/>
    </xf>
    <xf numFmtId="2" fontId="7" fillId="15" borderId="0" xfId="0" applyNumberFormat="1" applyFont="1" applyFill="1" applyAlignment="1">
      <alignment horizontal="center" vertical="center" wrapText="1"/>
    </xf>
    <xf numFmtId="2" fontId="7" fillId="15" borderId="0" xfId="0" applyNumberFormat="1" applyFont="1" applyFill="1" applyAlignment="1">
      <alignment horizontal="left"/>
    </xf>
    <xf numFmtId="2" fontId="9" fillId="0" borderId="0" xfId="0" applyNumberFormat="1" applyFont="1"/>
    <xf numFmtId="170" fontId="9" fillId="0" borderId="0" xfId="0" applyNumberFormat="1" applyFont="1" applyAlignment="1">
      <alignment horizontal="center"/>
    </xf>
    <xf numFmtId="170" fontId="3" fillId="0" borderId="0" xfId="0" applyNumberFormat="1" applyFont="1" applyAlignment="1">
      <alignment horizontal="center"/>
    </xf>
    <xf numFmtId="166" fontId="2" fillId="0" borderId="0" xfId="0" applyNumberFormat="1" applyFont="1" applyAlignment="1">
      <alignment horizontal="center" vertical="center"/>
    </xf>
    <xf numFmtId="2" fontId="3" fillId="4" borderId="0" xfId="0" applyNumberFormat="1" applyFont="1" applyFill="1" applyAlignment="1">
      <alignment horizontal="center"/>
    </xf>
    <xf numFmtId="168" fontId="29" fillId="15" borderId="0" xfId="0" applyNumberFormat="1" applyFont="1" applyFill="1" applyAlignment="1"/>
    <xf numFmtId="168" fontId="7" fillId="15" borderId="0" xfId="0" applyNumberFormat="1" applyFont="1" applyFill="1" applyAlignment="1"/>
    <xf numFmtId="168" fontId="2" fillId="0" borderId="0" xfId="0" applyNumberFormat="1" applyFont="1" applyAlignment="1">
      <alignment horizontal="center"/>
    </xf>
    <xf numFmtId="0" fontId="2" fillId="0" borderId="0" xfId="0" applyFont="1" applyAlignment="1">
      <alignment horizontal="left"/>
    </xf>
    <xf numFmtId="2" fontId="3" fillId="0" borderId="0" xfId="0" applyNumberFormat="1" applyFont="1" applyAlignment="1">
      <alignment wrapText="1"/>
    </xf>
    <xf numFmtId="0" fontId="9" fillId="4" borderId="0" xfId="0" applyFont="1" applyFill="1"/>
    <xf numFmtId="0" fontId="32" fillId="0" borderId="0" xfId="0" applyFont="1" applyAlignment="1">
      <alignment horizontal="center" wrapText="1"/>
    </xf>
    <xf numFmtId="0" fontId="32" fillId="0" borderId="0" xfId="0" applyFont="1" applyAlignment="1">
      <alignment wrapText="1"/>
    </xf>
    <xf numFmtId="0" fontId="33" fillId="0" borderId="0" xfId="0" applyFont="1" applyAlignment="1">
      <alignment horizontal="center"/>
    </xf>
    <xf numFmtId="0" fontId="38" fillId="2" borderId="0" xfId="0" applyFont="1" applyFill="1" applyAlignment="1">
      <alignment horizontal="center"/>
    </xf>
    <xf numFmtId="0" fontId="38" fillId="5" borderId="0" xfId="0" applyFont="1" applyFill="1" applyAlignment="1">
      <alignment horizontal="center"/>
    </xf>
    <xf numFmtId="0" fontId="39" fillId="0" borderId="0" xfId="0" applyFont="1" applyAlignment="1"/>
    <xf numFmtId="0" fontId="40" fillId="0" borderId="0" xfId="0" applyFont="1"/>
    <xf numFmtId="0" fontId="41" fillId="2" borderId="0" xfId="0" applyFont="1" applyFill="1"/>
    <xf numFmtId="168" fontId="42" fillId="2" borderId="0" xfId="0" applyNumberFormat="1" applyFont="1" applyFill="1"/>
    <xf numFmtId="0" fontId="42" fillId="2" borderId="0" xfId="0" applyFont="1" applyFill="1" applyAlignment="1"/>
    <xf numFmtId="0" fontId="28" fillId="0" borderId="0" xfId="0" applyFont="1"/>
    <xf numFmtId="169" fontId="28" fillId="0" borderId="0" xfId="0" applyNumberFormat="1" applyFont="1"/>
    <xf numFmtId="0" fontId="42" fillId="2" borderId="0" xfId="0" applyFont="1" applyFill="1"/>
    <xf numFmtId="0" fontId="2" fillId="0" borderId="0" xfId="0" applyFont="1" applyAlignment="1"/>
    <xf numFmtId="0" fontId="7" fillId="2" borderId="24" xfId="0" applyFont="1" applyFill="1" applyBorder="1" applyAlignment="1">
      <alignment horizontal="center"/>
    </xf>
    <xf numFmtId="0" fontId="7" fillId="5" borderId="24" xfId="0" applyFont="1" applyFill="1" applyBorder="1" applyAlignment="1">
      <alignment horizontal="center"/>
    </xf>
    <xf numFmtId="0" fontId="2" fillId="0" borderId="24" xfId="0" applyFont="1" applyBorder="1" applyAlignment="1"/>
    <xf numFmtId="165" fontId="3" fillId="6" borderId="24" xfId="0" applyNumberFormat="1" applyFont="1" applyFill="1" applyBorder="1" applyAlignment="1">
      <alignment horizontal="center"/>
    </xf>
    <xf numFmtId="1" fontId="3" fillId="0" borderId="24" xfId="0" applyNumberFormat="1" applyFont="1" applyBorder="1" applyAlignment="1">
      <alignment horizontal="center"/>
    </xf>
    <xf numFmtId="0" fontId="3" fillId="0" borderId="24" xfId="0" applyFont="1" applyBorder="1" applyAlignment="1"/>
    <xf numFmtId="0" fontId="8" fillId="0" borderId="24" xfId="0" applyFont="1" applyBorder="1" applyAlignment="1"/>
    <xf numFmtId="165" fontId="8" fillId="6" borderId="24" xfId="0" applyNumberFormat="1" applyFont="1" applyFill="1" applyBorder="1" applyAlignment="1">
      <alignment horizontal="center"/>
    </xf>
    <xf numFmtId="0" fontId="0" fillId="0" borderId="24" xfId="0" applyFont="1" applyBorder="1" applyAlignment="1"/>
    <xf numFmtId="0" fontId="3" fillId="0" borderId="24" xfId="0" applyFont="1" applyBorder="1" applyAlignment="1">
      <alignment horizontal="center"/>
    </xf>
    <xf numFmtId="1" fontId="3" fillId="7" borderId="24" xfId="0" applyNumberFormat="1" applyFont="1" applyFill="1" applyBorder="1" applyAlignment="1">
      <alignment horizontal="center"/>
    </xf>
    <xf numFmtId="0" fontId="3" fillId="7" borderId="24" xfId="0" applyFont="1" applyFill="1" applyBorder="1" applyAlignment="1">
      <alignment horizontal="center"/>
    </xf>
    <xf numFmtId="0" fontId="7" fillId="2" borderId="24" xfId="0" applyFont="1" applyFill="1" applyBorder="1" applyAlignment="1"/>
    <xf numFmtId="0" fontId="3" fillId="8" borderId="24" xfId="0" applyFont="1" applyFill="1" applyBorder="1" applyAlignment="1"/>
    <xf numFmtId="0" fontId="3" fillId="8" borderId="24" xfId="0" applyFont="1" applyFill="1" applyBorder="1" applyAlignment="1">
      <alignment horizontal="center"/>
    </xf>
    <xf numFmtId="0" fontId="11" fillId="0" borderId="24" xfId="0" applyFont="1" applyBorder="1" applyAlignment="1">
      <alignment horizontal="center"/>
    </xf>
    <xf numFmtId="4" fontId="3" fillId="0" borderId="24" xfId="0" applyNumberFormat="1" applyFont="1" applyBorder="1" applyAlignment="1">
      <alignment horizontal="center"/>
    </xf>
    <xf numFmtId="3" fontId="3" fillId="0" borderId="24" xfId="0" applyNumberFormat="1" applyFont="1" applyBorder="1" applyAlignment="1">
      <alignment horizontal="center"/>
    </xf>
    <xf numFmtId="9" fontId="3" fillId="8" borderId="24" xfId="0" applyNumberFormat="1" applyFont="1" applyFill="1" applyBorder="1" applyAlignment="1">
      <alignment horizontal="center"/>
    </xf>
    <xf numFmtId="0" fontId="12" fillId="0" borderId="24" xfId="0" applyFont="1" applyBorder="1" applyAlignment="1">
      <alignment horizontal="center"/>
    </xf>
    <xf numFmtId="0" fontId="8" fillId="0" borderId="24" xfId="0" applyFont="1" applyBorder="1" applyAlignment="1">
      <alignment horizontal="center"/>
    </xf>
    <xf numFmtId="0" fontId="13" fillId="0" borderId="24" xfId="0" applyFont="1" applyBorder="1" applyAlignment="1">
      <alignment horizontal="center"/>
    </xf>
    <xf numFmtId="0" fontId="3" fillId="4" borderId="24" xfId="0" applyFont="1" applyFill="1" applyBorder="1" applyAlignment="1">
      <alignment horizontal="center"/>
    </xf>
    <xf numFmtId="0" fontId="14" fillId="0" borderId="24" xfId="0" applyFont="1" applyBorder="1" applyAlignment="1">
      <alignment horizontal="center"/>
    </xf>
    <xf numFmtId="0" fontId="3" fillId="0" borderId="24" xfId="0" applyFont="1" applyBorder="1" applyAlignment="1">
      <alignment horizontal="left"/>
    </xf>
    <xf numFmtId="0" fontId="3" fillId="9" borderId="24" xfId="0" applyFont="1" applyFill="1" applyBorder="1" applyAlignment="1">
      <alignment horizontal="center"/>
    </xf>
    <xf numFmtId="0" fontId="15" fillId="0" borderId="24" xfId="0" applyFont="1" applyBorder="1" applyAlignment="1"/>
    <xf numFmtId="49" fontId="16" fillId="0" borderId="24" xfId="0" applyNumberFormat="1" applyFont="1" applyBorder="1" applyAlignment="1">
      <alignment horizontal="center"/>
    </xf>
    <xf numFmtId="49" fontId="17" fillId="0" borderId="24" xfId="0" applyNumberFormat="1" applyFont="1" applyBorder="1" applyAlignment="1">
      <alignment horizontal="center"/>
    </xf>
    <xf numFmtId="167" fontId="3" fillId="0" borderId="24" xfId="0" applyNumberFormat="1" applyFont="1" applyBorder="1" applyAlignment="1">
      <alignment horizontal="center"/>
    </xf>
    <xf numFmtId="0" fontId="2" fillId="0" borderId="24" xfId="0" applyFont="1" applyBorder="1" applyAlignment="1">
      <alignment horizontal="center"/>
    </xf>
    <xf numFmtId="0" fontId="3" fillId="0" borderId="24" xfId="0" applyFont="1" applyBorder="1" applyAlignment="1">
      <alignment horizontal="center" wrapText="1"/>
    </xf>
    <xf numFmtId="0" fontId="19" fillId="4" borderId="24" xfId="0" applyFont="1" applyFill="1" applyBorder="1" applyAlignment="1"/>
    <xf numFmtId="0" fontId="20" fillId="0" borderId="24" xfId="0" applyFont="1" applyBorder="1" applyAlignment="1">
      <alignment horizontal="center"/>
    </xf>
    <xf numFmtId="0" fontId="19" fillId="4" borderId="24" xfId="0" applyFont="1" applyFill="1" applyBorder="1"/>
    <xf numFmtId="0" fontId="8" fillId="9" borderId="24" xfId="0" applyFont="1" applyFill="1" applyBorder="1" applyAlignment="1">
      <alignment horizontal="center"/>
    </xf>
    <xf numFmtId="0" fontId="3" fillId="3" borderId="24" xfId="0" applyFont="1" applyFill="1" applyBorder="1" applyAlignment="1">
      <alignment horizontal="center"/>
    </xf>
    <xf numFmtId="0" fontId="3" fillId="0" borderId="24" xfId="0" applyFont="1" applyBorder="1"/>
    <xf numFmtId="168" fontId="3" fillId="0" borderId="24" xfId="0" applyNumberFormat="1" applyFont="1" applyBorder="1" applyAlignment="1">
      <alignment horizontal="left" wrapText="1"/>
    </xf>
    <xf numFmtId="0" fontId="18" fillId="2" borderId="24" xfId="0" applyFont="1" applyFill="1" applyBorder="1" applyAlignment="1">
      <alignment horizontal="center"/>
    </xf>
    <xf numFmtId="166" fontId="3" fillId="0" borderId="24" xfId="0" applyNumberFormat="1" applyFont="1" applyBorder="1" applyAlignment="1">
      <alignment horizontal="center"/>
    </xf>
    <xf numFmtId="2" fontId="3" fillId="10" borderId="24" xfId="0" applyNumberFormat="1" applyFont="1" applyFill="1" applyBorder="1" applyAlignment="1">
      <alignment horizontal="center"/>
    </xf>
    <xf numFmtId="0" fontId="3" fillId="10" borderId="24" xfId="0" applyFont="1" applyFill="1" applyBorder="1" applyAlignment="1">
      <alignment horizontal="center"/>
    </xf>
    <xf numFmtId="1" fontId="3" fillId="10" borderId="24" xfId="0" applyNumberFormat="1" applyFont="1" applyFill="1" applyBorder="1" applyAlignment="1">
      <alignment horizontal="center"/>
    </xf>
    <xf numFmtId="165" fontId="3" fillId="10" borderId="24" xfId="0" applyNumberFormat="1" applyFont="1" applyFill="1" applyBorder="1" applyAlignment="1">
      <alignment horizontal="center"/>
    </xf>
    <xf numFmtId="0" fontId="3" fillId="10" borderId="24" xfId="0" applyFont="1" applyFill="1" applyBorder="1"/>
    <xf numFmtId="165" fontId="3" fillId="4" borderId="24" xfId="0" applyNumberFormat="1" applyFont="1" applyFill="1" applyBorder="1" applyAlignment="1">
      <alignment horizontal="center"/>
    </xf>
    <xf numFmtId="165" fontId="3" fillId="0" borderId="24" xfId="0" applyNumberFormat="1" applyFont="1" applyBorder="1" applyAlignment="1">
      <alignment horizontal="center"/>
    </xf>
    <xf numFmtId="2" fontId="21" fillId="0" borderId="24" xfId="0" applyNumberFormat="1" applyFont="1" applyBorder="1" applyAlignment="1">
      <alignment horizontal="center"/>
    </xf>
    <xf numFmtId="165" fontId="3" fillId="8" borderId="24" xfId="0" applyNumberFormat="1" applyFont="1" applyFill="1" applyBorder="1" applyAlignment="1">
      <alignment horizontal="center"/>
    </xf>
    <xf numFmtId="0" fontId="8" fillId="8" borderId="24" xfId="0" applyFont="1" applyFill="1" applyBorder="1" applyAlignment="1">
      <alignment horizontal="center"/>
    </xf>
    <xf numFmtId="1" fontId="3" fillId="8" borderId="24" xfId="0" applyNumberFormat="1" applyFont="1" applyFill="1" applyBorder="1" applyAlignment="1">
      <alignment horizontal="center"/>
    </xf>
    <xf numFmtId="0" fontId="3" fillId="8" borderId="24" xfId="0" applyFont="1" applyFill="1" applyBorder="1"/>
    <xf numFmtId="0" fontId="22" fillId="4" borderId="24" xfId="0" applyFont="1" applyFill="1" applyBorder="1" applyAlignment="1">
      <alignment horizontal="center"/>
    </xf>
    <xf numFmtId="0" fontId="3" fillId="10" borderId="24" xfId="0" applyFont="1" applyFill="1" applyBorder="1" applyAlignment="1"/>
    <xf numFmtId="10" fontId="3" fillId="10" borderId="24" xfId="0" applyNumberFormat="1" applyFont="1" applyFill="1" applyBorder="1" applyAlignment="1">
      <alignment horizontal="center"/>
    </xf>
    <xf numFmtId="168" fontId="3" fillId="10" borderId="24" xfId="0" applyNumberFormat="1" applyFont="1" applyFill="1" applyBorder="1" applyAlignment="1">
      <alignment horizontal="center"/>
    </xf>
    <xf numFmtId="9" fontId="3" fillId="10" borderId="24" xfId="0" applyNumberFormat="1" applyFont="1" applyFill="1" applyBorder="1" applyAlignment="1">
      <alignment horizontal="center"/>
    </xf>
    <xf numFmtId="10" fontId="3" fillId="8" borderId="24" xfId="0" applyNumberFormat="1" applyFont="1" applyFill="1" applyBorder="1" applyAlignment="1">
      <alignment horizontal="center"/>
    </xf>
    <xf numFmtId="2" fontId="3" fillId="4" borderId="24" xfId="0" applyNumberFormat="1" applyFont="1" applyFill="1" applyBorder="1" applyAlignment="1">
      <alignment horizontal="center"/>
    </xf>
    <xf numFmtId="2" fontId="3" fillId="8" borderId="24" xfId="0" applyNumberFormat="1" applyFont="1" applyFill="1" applyBorder="1" applyAlignment="1">
      <alignment horizontal="center"/>
    </xf>
    <xf numFmtId="2" fontId="3" fillId="8" borderId="24" xfId="0" applyNumberFormat="1" applyFont="1" applyFill="1" applyBorder="1" applyAlignment="1"/>
    <xf numFmtId="10" fontId="3" fillId="8" borderId="24" xfId="0" applyNumberFormat="1" applyFont="1" applyFill="1" applyBorder="1"/>
    <xf numFmtId="2" fontId="3" fillId="8" borderId="24" xfId="0" applyNumberFormat="1" applyFont="1" applyFill="1" applyBorder="1"/>
    <xf numFmtId="0" fontId="32" fillId="0" borderId="24" xfId="0" applyFont="1" applyBorder="1" applyAlignment="1">
      <alignment wrapText="1"/>
    </xf>
    <xf numFmtId="0" fontId="32" fillId="0" borderId="24" xfId="0" applyFont="1" applyBorder="1" applyAlignment="1">
      <alignment horizontal="center" wrapText="1"/>
    </xf>
    <xf numFmtId="0" fontId="33" fillId="0" borderId="24" xfId="0" applyFont="1" applyBorder="1" applyAlignment="1"/>
    <xf numFmtId="0" fontId="33" fillId="0" borderId="24" xfId="0" applyFont="1" applyBorder="1" applyAlignment="1">
      <alignment horizontal="center"/>
    </xf>
    <xf numFmtId="0" fontId="33" fillId="15" borderId="24" xfId="0" applyFont="1" applyFill="1" applyBorder="1" applyAlignment="1">
      <alignment horizontal="center"/>
    </xf>
    <xf numFmtId="0" fontId="33" fillId="9" borderId="24" xfId="0" applyFont="1" applyFill="1" applyBorder="1" applyAlignment="1">
      <alignment horizontal="center"/>
    </xf>
    <xf numFmtId="0" fontId="34" fillId="0" borderId="24" xfId="0" applyFont="1" applyBorder="1" applyAlignment="1">
      <alignment horizontal="center"/>
    </xf>
    <xf numFmtId="0" fontId="35" fillId="0" borderId="24" xfId="0" applyFont="1" applyBorder="1" applyAlignment="1">
      <alignment horizontal="center"/>
    </xf>
    <xf numFmtId="1" fontId="33" fillId="0" borderId="24" xfId="0" applyNumberFormat="1" applyFont="1" applyBorder="1" applyAlignment="1">
      <alignment horizontal="center"/>
    </xf>
    <xf numFmtId="2" fontId="33" fillId="0" borderId="24" xfId="0" applyNumberFormat="1" applyFont="1" applyBorder="1" applyAlignment="1">
      <alignment horizontal="center"/>
    </xf>
    <xf numFmtId="0" fontId="36" fillId="4" borderId="24" xfId="0" applyFont="1" applyFill="1" applyBorder="1" applyAlignment="1">
      <alignment horizontal="center"/>
    </xf>
    <xf numFmtId="0" fontId="37" fillId="0" borderId="24" xfId="0" applyFont="1" applyBorder="1" applyAlignment="1">
      <alignment horizontal="center"/>
    </xf>
    <xf numFmtId="0" fontId="3" fillId="14" borderId="24" xfId="0" applyFont="1" applyFill="1" applyBorder="1"/>
    <xf numFmtId="0" fontId="3" fillId="17" borderId="24" xfId="0" applyFont="1" applyFill="1" applyBorder="1" applyAlignment="1"/>
    <xf numFmtId="2" fontId="3" fillId="0" borderId="24" xfId="0" applyNumberFormat="1" applyFont="1" applyBorder="1" applyAlignment="1">
      <alignment horizontal="center"/>
    </xf>
    <xf numFmtId="2" fontId="2" fillId="0" borderId="24" xfId="0" applyNumberFormat="1" applyFont="1" applyBorder="1" applyAlignment="1">
      <alignment horizontal="center"/>
    </xf>
    <xf numFmtId="0" fontId="43" fillId="0" borderId="24" xfId="0" applyFont="1" applyBorder="1" applyAlignment="1"/>
    <xf numFmtId="0" fontId="44" fillId="0" borderId="24" xfId="0" applyFont="1" applyBorder="1" applyAlignment="1"/>
    <xf numFmtId="0" fontId="3" fillId="5" borderId="24" xfId="0" applyFont="1" applyFill="1" applyBorder="1" applyAlignment="1"/>
    <xf numFmtId="0" fontId="3" fillId="18" borderId="24" xfId="0" applyFont="1" applyFill="1" applyBorder="1" applyAlignment="1"/>
    <xf numFmtId="2" fontId="8" fillId="0" borderId="24" xfId="0" applyNumberFormat="1" applyFont="1" applyBorder="1" applyAlignment="1">
      <alignment horizontal="center"/>
    </xf>
    <xf numFmtId="0" fontId="2" fillId="0" borderId="24" xfId="0" applyFont="1" applyBorder="1"/>
    <xf numFmtId="0" fontId="51" fillId="0" borderId="24" xfId="0" applyFont="1" applyBorder="1" applyAlignment="1">
      <alignment horizontal="center" vertical="center" wrapText="1"/>
    </xf>
    <xf numFmtId="168" fontId="54" fillId="2" borderId="0" xfId="0" applyNumberFormat="1" applyFont="1" applyFill="1" applyAlignment="1">
      <alignment horizontal="left" wrapText="1"/>
    </xf>
    <xf numFmtId="0" fontId="1" fillId="0" borderId="0" xfId="0" applyFont="1" applyAlignment="1"/>
    <xf numFmtId="0" fontId="0" fillId="0" borderId="0" xfId="0" applyFont="1" applyAlignment="1"/>
    <xf numFmtId="0" fontId="2" fillId="0" borderId="0" xfId="0" applyFont="1" applyAlignment="1">
      <alignment horizontal="center"/>
    </xf>
    <xf numFmtId="0" fontId="3" fillId="0" borderId="1" xfId="0" applyFont="1" applyBorder="1" applyAlignment="1">
      <alignment vertical="top" wrapText="1"/>
    </xf>
    <xf numFmtId="0" fontId="4" fillId="0" borderId="2" xfId="0" applyFont="1" applyBorder="1"/>
    <xf numFmtId="0" fontId="4" fillId="0" borderId="3" xfId="0" applyFont="1" applyBorder="1"/>
    <xf numFmtId="0" fontId="4" fillId="0" borderId="4" xfId="0" applyFont="1" applyBorder="1"/>
    <xf numFmtId="0" fontId="4" fillId="0" borderId="5" xfId="0" applyFont="1" applyBorder="1"/>
    <xf numFmtId="0" fontId="4" fillId="0" borderId="6" xfId="0" applyFont="1" applyBorder="1"/>
    <xf numFmtId="0" fontId="4" fillId="0" borderId="7" xfId="0" applyFont="1" applyBorder="1"/>
    <xf numFmtId="0" fontId="4" fillId="0" borderId="8" xfId="0" applyFont="1" applyBorder="1"/>
    <xf numFmtId="164" fontId="5" fillId="2" borderId="0" xfId="0" applyNumberFormat="1" applyFont="1" applyFill="1" applyAlignment="1">
      <alignment horizontal="center" vertical="center"/>
    </xf>
    <xf numFmtId="0" fontId="2" fillId="3" borderId="1" xfId="0" applyFont="1" applyFill="1" applyBorder="1" applyAlignment="1">
      <alignment vertical="top" wrapText="1"/>
    </xf>
    <xf numFmtId="0" fontId="2" fillId="0" borderId="1" xfId="0" applyFont="1" applyBorder="1" applyAlignment="1">
      <alignment vertical="top" wrapText="1"/>
    </xf>
    <xf numFmtId="0" fontId="3" fillId="3" borderId="9" xfId="0" applyFont="1" applyFill="1" applyBorder="1" applyAlignment="1">
      <alignment vertical="top" wrapText="1"/>
    </xf>
    <xf numFmtId="0" fontId="4" fillId="0" borderId="10" xfId="0" applyFont="1" applyBorder="1"/>
    <xf numFmtId="0" fontId="4" fillId="0" borderId="11" xfId="0" applyFont="1" applyBorder="1"/>
    <xf numFmtId="0" fontId="7" fillId="4" borderId="12" xfId="0" applyFont="1" applyFill="1" applyBorder="1" applyAlignment="1">
      <alignment horizontal="center" wrapText="1"/>
    </xf>
    <xf numFmtId="0" fontId="4" fillId="0" borderId="13" xfId="0" applyFont="1" applyBorder="1"/>
    <xf numFmtId="0" fontId="4" fillId="0" borderId="14" xfId="0" applyFont="1" applyBorder="1"/>
    <xf numFmtId="0" fontId="4" fillId="0" borderId="15" xfId="0" applyFont="1" applyBorder="1"/>
    <xf numFmtId="0" fontId="4" fillId="0" borderId="16" xfId="0" applyFont="1" applyBorder="1"/>
    <xf numFmtId="0" fontId="4" fillId="0" borderId="17" xfId="0" applyFont="1" applyBorder="1"/>
    <xf numFmtId="0" fontId="4" fillId="0" borderId="18" xfId="0" applyFont="1" applyBorder="1"/>
    <xf numFmtId="0" fontId="4" fillId="0" borderId="19" xfId="0" applyFont="1" applyBorder="1"/>
    <xf numFmtId="0" fontId="10" fillId="0" borderId="1" xfId="0" applyFont="1" applyBorder="1" applyAlignment="1">
      <alignment wrapText="1"/>
    </xf>
    <xf numFmtId="0" fontId="3" fillId="0" borderId="12" xfId="0" applyFont="1" applyBorder="1" applyAlignment="1">
      <alignment horizontal="center" vertical="top" wrapText="1"/>
    </xf>
    <xf numFmtId="0" fontId="3" fillId="0" borderId="12" xfId="0" applyFont="1" applyBorder="1" applyAlignment="1">
      <alignment wrapText="1"/>
    </xf>
    <xf numFmtId="0" fontId="7" fillId="2" borderId="0" xfId="0" applyFont="1" applyFill="1" applyAlignment="1">
      <alignment horizontal="left"/>
    </xf>
    <xf numFmtId="1" fontId="7" fillId="5" borderId="0" xfId="0" applyNumberFormat="1" applyFont="1" applyFill="1" applyAlignment="1">
      <alignment horizontal="left"/>
    </xf>
    <xf numFmtId="0" fontId="7" fillId="5" borderId="0" xfId="0" applyFont="1" applyFill="1" applyAlignment="1">
      <alignment horizontal="center" vertical="center"/>
    </xf>
    <xf numFmtId="0" fontId="7" fillId="2" borderId="0" xfId="0" applyFont="1" applyFill="1" applyAlignment="1">
      <alignment horizontal="center" vertical="center"/>
    </xf>
    <xf numFmtId="0" fontId="24" fillId="0" borderId="20" xfId="0" applyFont="1" applyBorder="1" applyAlignment="1">
      <alignment horizontal="center" vertical="center" wrapText="1"/>
    </xf>
    <xf numFmtId="0" fontId="4" fillId="0" borderId="21" xfId="0" applyFont="1" applyBorder="1"/>
    <xf numFmtId="0" fontId="4" fillId="0" borderId="22" xfId="0" applyFont="1" applyBorder="1"/>
    <xf numFmtId="0" fontId="7" fillId="2" borderId="0" xfId="0" applyFont="1" applyFill="1" applyAlignment="1">
      <alignment horizontal="left" vertical="center"/>
    </xf>
    <xf numFmtId="0" fontId="53" fillId="0" borderId="12" xfId="0" applyFont="1" applyBorder="1" applyAlignment="1">
      <alignment horizontal="left" vertical="top" wrapText="1"/>
    </xf>
    <xf numFmtId="0" fontId="52" fillId="0" borderId="13" xfId="0" applyFont="1" applyBorder="1"/>
    <xf numFmtId="0" fontId="52" fillId="0" borderId="14" xfId="0" applyFont="1" applyBorder="1"/>
    <xf numFmtId="0" fontId="52" fillId="0" borderId="15" xfId="0" applyFont="1" applyBorder="1"/>
    <xf numFmtId="0" fontId="52" fillId="0" borderId="16" xfId="0" applyFont="1" applyBorder="1"/>
    <xf numFmtId="0" fontId="52" fillId="0" borderId="17" xfId="0" applyFont="1" applyBorder="1"/>
    <xf numFmtId="0" fontId="52" fillId="0" borderId="18" xfId="0" applyFont="1" applyBorder="1"/>
    <xf numFmtId="0" fontId="52" fillId="0" borderId="19" xfId="0" applyFont="1" applyBorder="1"/>
    <xf numFmtId="2" fontId="7" fillId="11" borderId="0" xfId="0" applyNumberFormat="1" applyFont="1" applyFill="1" applyAlignment="1">
      <alignment horizontal="center" vertical="center" wrapText="1"/>
    </xf>
    <xf numFmtId="168" fontId="7" fillId="11" borderId="0" xfId="0" applyNumberFormat="1" applyFont="1" applyFill="1" applyAlignment="1">
      <alignment horizontal="center" wrapText="1"/>
    </xf>
    <xf numFmtId="168" fontId="7" fillId="11" borderId="0" xfId="0" applyNumberFormat="1" applyFont="1" applyFill="1" applyAlignment="1">
      <alignment horizontal="center" vertical="center" wrapText="1"/>
    </xf>
    <xf numFmtId="169" fontId="2" fillId="0" borderId="0" xfId="0" applyNumberFormat="1" applyFont="1" applyAlignment="1">
      <alignment horizontal="center" vertical="center" wrapText="1"/>
    </xf>
    <xf numFmtId="2" fontId="7" fillId="2" borderId="0" xfId="0" applyNumberFormat="1" applyFont="1" applyFill="1" applyAlignment="1">
      <alignment horizontal="center" vertical="center" wrapText="1"/>
    </xf>
    <xf numFmtId="168" fontId="7" fillId="2" borderId="0" xfId="0" applyNumberFormat="1" applyFont="1" applyFill="1" applyAlignment="1">
      <alignment horizontal="center" vertical="center" wrapText="1"/>
    </xf>
    <xf numFmtId="168" fontId="7" fillId="15" borderId="0" xfId="0" applyNumberFormat="1" applyFont="1" applyFill="1" applyAlignment="1">
      <alignment horizontal="center" vertical="center" wrapText="1"/>
    </xf>
    <xf numFmtId="2" fontId="7" fillId="15" borderId="0" xfId="0" applyNumberFormat="1" applyFont="1" applyFill="1" applyAlignment="1">
      <alignment horizontal="center" wrapText="1"/>
    </xf>
    <xf numFmtId="2" fontId="7" fillId="15" borderId="0" xfId="0" applyNumberFormat="1" applyFont="1" applyFill="1" applyAlignment="1">
      <alignment horizontal="center" vertical="center"/>
    </xf>
    <xf numFmtId="169" fontId="3" fillId="0" borderId="0" xfId="0" applyNumberFormat="1" applyFont="1" applyAlignment="1">
      <alignment horizontal="center" wrapText="1"/>
    </xf>
    <xf numFmtId="169" fontId="3" fillId="0" borderId="0" xfId="0" applyNumberFormat="1" applyFont="1" applyAlignment="1">
      <alignment horizontal="center"/>
    </xf>
    <xf numFmtId="2" fontId="3" fillId="11" borderId="0" xfId="0" applyNumberFormat="1" applyFont="1" applyFill="1" applyAlignment="1">
      <alignment horizontal="center"/>
    </xf>
    <xf numFmtId="0" fontId="3" fillId="2" borderId="0" xfId="0" applyFont="1" applyFill="1"/>
    <xf numFmtId="0" fontId="0" fillId="0" borderId="12" xfId="0" applyFont="1" applyBorder="1" applyAlignment="1">
      <alignment horizontal="left" vertical="top" wrapText="1"/>
    </xf>
    <xf numFmtId="168" fontId="7" fillId="2" borderId="0" xfId="0" applyNumberFormat="1" applyFont="1" applyFill="1" applyAlignment="1">
      <alignment horizontal="center"/>
    </xf>
    <xf numFmtId="2" fontId="7" fillId="11" borderId="0" xfId="0" applyNumberFormat="1" applyFont="1" applyFill="1" applyAlignment="1">
      <alignment horizontal="center"/>
    </xf>
    <xf numFmtId="0" fontId="7" fillId="2" borderId="0" xfId="0" applyFont="1" applyFill="1" applyAlignment="1">
      <alignment horizontal="center" vertical="center" wrapText="1"/>
    </xf>
    <xf numFmtId="168" fontId="7" fillId="2" borderId="0" xfId="0" applyNumberFormat="1" applyFont="1" applyFill="1" applyAlignment="1">
      <alignment horizontal="center" vertical="center"/>
    </xf>
    <xf numFmtId="2" fontId="7" fillId="11" borderId="0" xfId="0" applyNumberFormat="1" applyFont="1" applyFill="1" applyAlignment="1">
      <alignment horizontal="center" vertical="center"/>
    </xf>
    <xf numFmtId="10" fontId="7" fillId="2" borderId="0" xfId="0" applyNumberFormat="1" applyFont="1" applyFill="1" applyAlignment="1">
      <alignment horizontal="center" vertical="center" wrapText="1"/>
    </xf>
    <xf numFmtId="0" fontId="7" fillId="15" borderId="0" xfId="0" applyFont="1" applyFill="1" applyAlignment="1">
      <alignment horizontal="center" vertical="center" wrapText="1"/>
    </xf>
    <xf numFmtId="0" fontId="7" fillId="0" borderId="0" xfId="0" applyFont="1" applyAlignment="1">
      <alignment horizontal="center" vertical="center"/>
    </xf>
    <xf numFmtId="2" fontId="7" fillId="15" borderId="0" xfId="0" applyNumberFormat="1" applyFont="1" applyFill="1" applyAlignment="1">
      <alignment horizontal="center" vertical="center" wrapText="1"/>
    </xf>
    <xf numFmtId="2" fontId="3" fillId="0" borderId="0" xfId="0" applyNumberFormat="1" applyFont="1" applyAlignment="1">
      <alignment horizontal="center" wrapText="1"/>
    </xf>
    <xf numFmtId="2" fontId="3" fillId="0" borderId="0" xfId="0" applyNumberFormat="1" applyFont="1" applyAlignment="1">
      <alignment horizontal="center"/>
    </xf>
    <xf numFmtId="0" fontId="8" fillId="4" borderId="12" xfId="0" applyFont="1" applyFill="1" applyBorder="1" applyAlignment="1">
      <alignment horizontal="center" vertical="top" wrapText="1"/>
    </xf>
    <xf numFmtId="0" fontId="24" fillId="4" borderId="12" xfId="0" applyFont="1" applyFill="1" applyBorder="1" applyAlignment="1">
      <alignment horizontal="center" wrapText="1"/>
    </xf>
    <xf numFmtId="0" fontId="7" fillId="16" borderId="24" xfId="0" applyFont="1" applyFill="1" applyBorder="1" applyAlignment="1">
      <alignment horizontal="center"/>
    </xf>
    <xf numFmtId="0" fontId="0" fillId="0" borderId="24" xfId="0" applyFont="1" applyBorder="1" applyAlignment="1"/>
    <xf numFmtId="0" fontId="7" fillId="12" borderId="24" xfId="0" applyFont="1" applyFill="1" applyBorder="1" applyAlignment="1">
      <alignment horizontal="center"/>
    </xf>
  </cellXfs>
  <cellStyles count="1">
    <cellStyle name="Normaali" xfId="0" builtinId="0"/>
  </cellStyles>
  <dxfs count="4">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1"/>
  <c:style val="2"/>
  <c:chart>
    <c:autoTitleDeleted val="1"/>
    <c:plotArea>
      <c:layout/>
      <c:barChart>
        <c:barDir val="col"/>
        <c:grouping val="clustered"/>
        <c:varyColors val="1"/>
        <c:ser>
          <c:idx val="0"/>
          <c:order val="0"/>
          <c:tx>
            <c:strRef>
              <c:f>'Yhteenveto tuloksista, hiilijal'!$B$5</c:f>
              <c:strCache>
                <c:ptCount val="1"/>
                <c:pt idx="0">
                  <c:v>Nykytila (kg CO₂e/a)</c:v>
                </c:pt>
              </c:strCache>
            </c:strRef>
          </c:tx>
          <c:spPr>
            <a:solidFill>
              <a:srgbClr val="E91D63"/>
            </a:solidFill>
          </c:spPr>
          <c:invertIfNegative val="1"/>
          <c:cat>
            <c:strRef>
              <c:f>'Yhteenveto tuloksista, hiilijal'!$A$6:$A$8</c:f>
              <c:strCache>
                <c:ptCount val="3"/>
                <c:pt idx="0">
                  <c:v>Toimija 1</c:v>
                </c:pt>
                <c:pt idx="1">
                  <c:v>Toimija 2</c:v>
                </c:pt>
                <c:pt idx="2">
                  <c:v>Toimija 3</c:v>
                </c:pt>
              </c:strCache>
            </c:strRef>
          </c:cat>
          <c:val>
            <c:numRef>
              <c:f>'Yhteenveto tuloksista, hiilijal'!$B$6:$B$8</c:f>
              <c:numCache>
                <c:formatCode>0.0</c:formatCode>
                <c:ptCount val="3"/>
                <c:pt idx="0">
                  <c:v>1.7600000000000002</c:v>
                </c:pt>
                <c:pt idx="1">
                  <c:v>80.494517421999944</c:v>
                </c:pt>
                <c:pt idx="2">
                  <c:v>13.12</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0-25F0-40DF-8EF5-0665D35CF573}"/>
            </c:ext>
          </c:extLst>
        </c:ser>
        <c:ser>
          <c:idx val="1"/>
          <c:order val="1"/>
          <c:tx>
            <c:strRef>
              <c:f>'Yhteenveto tuloksista, hiilijal'!$C$5</c:f>
              <c:strCache>
                <c:ptCount val="1"/>
                <c:pt idx="0">
                  <c:v>Palvelu (kg CO₂e/a)</c:v>
                </c:pt>
              </c:strCache>
            </c:strRef>
          </c:tx>
          <c:spPr>
            <a:solidFill>
              <a:srgbClr val="43AAB1"/>
            </a:solidFill>
          </c:spPr>
          <c:invertIfNegative val="1"/>
          <c:cat>
            <c:strRef>
              <c:f>'Yhteenveto tuloksista, hiilijal'!$A$6:$A$8</c:f>
              <c:strCache>
                <c:ptCount val="3"/>
                <c:pt idx="0">
                  <c:v>Toimija 1</c:v>
                </c:pt>
                <c:pt idx="1">
                  <c:v>Toimija 2</c:v>
                </c:pt>
                <c:pt idx="2">
                  <c:v>Toimija 3</c:v>
                </c:pt>
              </c:strCache>
            </c:strRef>
          </c:cat>
          <c:val>
            <c:numRef>
              <c:f>'Yhteenveto tuloksista, hiilijal'!$C$6:$C$8</c:f>
              <c:numCache>
                <c:formatCode>0.0</c:formatCode>
                <c:ptCount val="3"/>
                <c:pt idx="0">
                  <c:v>4.4399999999999995</c:v>
                </c:pt>
                <c:pt idx="1">
                  <c:v>162.22</c:v>
                </c:pt>
                <c:pt idx="2">
                  <c:v>29.48</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1-25F0-40DF-8EF5-0665D35CF573}"/>
            </c:ext>
          </c:extLst>
        </c:ser>
        <c:ser>
          <c:idx val="2"/>
          <c:order val="2"/>
          <c:tx>
            <c:strRef>
              <c:f>'Yhteenveto tuloksista, hiilijal'!$D$5</c:f>
              <c:strCache>
                <c:ptCount val="1"/>
              </c:strCache>
            </c:strRef>
          </c:tx>
          <c:invertIfNegative val="1"/>
          <c:cat>
            <c:strRef>
              <c:f>'Yhteenveto tuloksista, hiilijal'!$A$6:$A$8</c:f>
              <c:strCache>
                <c:ptCount val="3"/>
                <c:pt idx="0">
                  <c:v>Toimija 1</c:v>
                </c:pt>
                <c:pt idx="1">
                  <c:v>Toimija 2</c:v>
                </c:pt>
                <c:pt idx="2">
                  <c:v>Toimija 3</c:v>
                </c:pt>
              </c:strCache>
            </c:strRef>
          </c:cat>
          <c:val>
            <c:numRef>
              <c:f>'Yhteenveto tuloksista, hiilijal'!$D$6:$D$8</c:f>
              <c:numCache>
                <c:formatCode>0.0</c:formatCode>
                <c:ptCount val="3"/>
              </c:numCache>
            </c:numRef>
          </c:val>
          <c:extLst>
            <c:ext xmlns:c16="http://schemas.microsoft.com/office/drawing/2014/chart" uri="{C3380CC4-5D6E-409C-BE32-E72D297353CC}">
              <c16:uniqueId val="{00000002-25F0-40DF-8EF5-0665D35CF573}"/>
            </c:ext>
          </c:extLst>
        </c:ser>
        <c:dLbls>
          <c:showLegendKey val="0"/>
          <c:showVal val="0"/>
          <c:showCatName val="0"/>
          <c:showSerName val="0"/>
          <c:showPercent val="0"/>
          <c:showBubbleSize val="0"/>
        </c:dLbls>
        <c:gapWidth val="150"/>
        <c:axId val="740256503"/>
        <c:axId val="1291047783"/>
      </c:barChart>
      <c:catAx>
        <c:axId val="740256503"/>
        <c:scaling>
          <c:orientation val="minMax"/>
        </c:scaling>
        <c:delete val="0"/>
        <c:axPos val="b"/>
        <c:title>
          <c:tx>
            <c:rich>
              <a:bodyPr/>
              <a:lstStyle/>
              <a:p>
                <a:pPr lvl="0">
                  <a:defRPr b="0">
                    <a:solidFill>
                      <a:srgbClr val="000000"/>
                    </a:solidFill>
                    <a:latin typeface="+mn-lt"/>
                  </a:defRPr>
                </a:pPr>
                <a:endParaRPr lang="fi-FI"/>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fi-FI"/>
          </a:p>
        </c:txPr>
        <c:crossAx val="1291047783"/>
        <c:crosses val="autoZero"/>
        <c:auto val="1"/>
        <c:lblAlgn val="ctr"/>
        <c:lblOffset val="100"/>
        <c:noMultiLvlLbl val="1"/>
      </c:catAx>
      <c:valAx>
        <c:axId val="1291047783"/>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fi-FI"/>
              </a:p>
            </c:rich>
          </c:tx>
          <c:overlay val="0"/>
        </c:title>
        <c:numFmt formatCode="0.0" sourceLinked="1"/>
        <c:majorTickMark val="none"/>
        <c:minorTickMark val="none"/>
        <c:tickLblPos val="nextTo"/>
        <c:spPr>
          <a:ln/>
        </c:spPr>
        <c:txPr>
          <a:bodyPr/>
          <a:lstStyle/>
          <a:p>
            <a:pPr lvl="0">
              <a:defRPr b="0">
                <a:solidFill>
                  <a:srgbClr val="000000"/>
                </a:solidFill>
                <a:latin typeface="+mn-lt"/>
              </a:defRPr>
            </a:pPr>
            <a:endParaRPr lang="fi-FI"/>
          </a:p>
        </c:txPr>
        <c:crossAx val="740256503"/>
        <c:crosses val="autoZero"/>
        <c:crossBetween val="between"/>
      </c:valAx>
    </c:plotArea>
    <c:legend>
      <c:legendPos val="r"/>
      <c:overlay val="0"/>
      <c:txPr>
        <a:bodyPr/>
        <a:lstStyle/>
        <a:p>
          <a:pPr lvl="0">
            <a:defRPr b="0">
              <a:solidFill>
                <a:srgbClr val="1A1A1A"/>
              </a:solidFill>
              <a:latin typeface="+mn-lt"/>
            </a:defRPr>
          </a:pPr>
          <a:endParaRPr lang="fi-FI"/>
        </a:p>
      </c:txPr>
    </c:legend>
    <c:plotVisOnly val="1"/>
    <c:dispBlanksAs val="zero"/>
    <c:showDLblsOverMax val="1"/>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1"/>
  <c:style val="2"/>
  <c:chart>
    <c:autoTitleDeleted val="1"/>
    <c:plotArea>
      <c:layout/>
      <c:barChart>
        <c:barDir val="col"/>
        <c:grouping val="stacked"/>
        <c:varyColors val="1"/>
        <c:ser>
          <c:idx val="0"/>
          <c:order val="0"/>
          <c:tx>
            <c:strRef>
              <c:f>'Yhteenveto raportointiin'!$A$23</c:f>
              <c:strCache>
                <c:ptCount val="1"/>
                <c:pt idx="0">
                  <c:v>Toimija 2 vaate 1</c:v>
                </c:pt>
              </c:strCache>
            </c:strRef>
          </c:tx>
          <c:spPr>
            <a:solidFill>
              <a:srgbClr val="783F04"/>
            </a:solidFill>
          </c:spPr>
          <c:invertIfNegative val="1"/>
          <c:cat>
            <c:strRef>
              <c:f>'Yhteenveto raportointiin'!$B$22:$F$22</c:f>
              <c:strCache>
                <c:ptCount val="5"/>
                <c:pt idx="0">
                  <c:v>Pesu ja kuivaus pesulassa (kg CO₂e/a)</c:v>
                </c:pt>
                <c:pt idx="1">
                  <c:v>Kaasukuivaus, maakaasu (kg CO₂e/a)</c:v>
                </c:pt>
                <c:pt idx="2">
                  <c:v>Kaasukuivatus, biokaasu (kg CO₂e/a)</c:v>
                </c:pt>
                <c:pt idx="3">
                  <c:v>Kuljetukset, suorat päästöt (kg CO₂e/a)</c:v>
                </c:pt>
                <c:pt idx="4">
                  <c:v>Polttoaineen valmistus (kg CO₂e/a)</c:v>
                </c:pt>
              </c:strCache>
            </c:strRef>
          </c:cat>
          <c:val>
            <c:numRef>
              <c:f>'Yhteenveto raportointiin'!$B$23:$F$23</c:f>
              <c:numCache>
                <c:formatCode>0.00</c:formatCode>
                <c:ptCount val="5"/>
                <c:pt idx="0">
                  <c:v>8.27</c:v>
                </c:pt>
                <c:pt idx="1">
                  <c:v>50.69</c:v>
                </c:pt>
                <c:pt idx="2">
                  <c:v>0</c:v>
                </c:pt>
                <c:pt idx="3">
                  <c:v>0.03</c:v>
                </c:pt>
                <c:pt idx="4">
                  <c:v>0.01</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0-B4F4-42B8-A983-9F45DA7A778C}"/>
            </c:ext>
          </c:extLst>
        </c:ser>
        <c:ser>
          <c:idx val="1"/>
          <c:order val="1"/>
          <c:tx>
            <c:strRef>
              <c:f>'Yhteenveto raportointiin'!$A$24</c:f>
              <c:strCache>
                <c:ptCount val="1"/>
                <c:pt idx="0">
                  <c:v>Toimija 2 vaate 2</c:v>
                </c:pt>
              </c:strCache>
            </c:strRef>
          </c:tx>
          <c:spPr>
            <a:solidFill>
              <a:srgbClr val="B45F06"/>
            </a:solidFill>
          </c:spPr>
          <c:invertIfNegative val="1"/>
          <c:cat>
            <c:strRef>
              <c:f>'Yhteenveto raportointiin'!$B$22:$F$22</c:f>
              <c:strCache>
                <c:ptCount val="5"/>
                <c:pt idx="0">
                  <c:v>Pesu ja kuivaus pesulassa (kg CO₂e/a)</c:v>
                </c:pt>
                <c:pt idx="1">
                  <c:v>Kaasukuivaus, maakaasu (kg CO₂e/a)</c:v>
                </c:pt>
                <c:pt idx="2">
                  <c:v>Kaasukuivatus, biokaasu (kg CO₂e/a)</c:v>
                </c:pt>
                <c:pt idx="3">
                  <c:v>Kuljetukset, suorat päästöt (kg CO₂e/a)</c:v>
                </c:pt>
                <c:pt idx="4">
                  <c:v>Polttoaineen valmistus (kg CO₂e/a)</c:v>
                </c:pt>
              </c:strCache>
            </c:strRef>
          </c:cat>
          <c:val>
            <c:numRef>
              <c:f>'Yhteenveto raportointiin'!$B$24:$F$24</c:f>
              <c:numCache>
                <c:formatCode>0.00</c:formatCode>
                <c:ptCount val="5"/>
                <c:pt idx="0">
                  <c:v>8.27</c:v>
                </c:pt>
                <c:pt idx="1">
                  <c:v>50.69</c:v>
                </c:pt>
                <c:pt idx="2">
                  <c:v>0</c:v>
                </c:pt>
                <c:pt idx="3">
                  <c:v>0.03</c:v>
                </c:pt>
                <c:pt idx="4">
                  <c:v>0.01</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1-B4F4-42B8-A983-9F45DA7A778C}"/>
            </c:ext>
          </c:extLst>
        </c:ser>
        <c:ser>
          <c:idx val="2"/>
          <c:order val="2"/>
          <c:tx>
            <c:strRef>
              <c:f>'Yhteenveto raportointiin'!$A$25</c:f>
              <c:strCache>
                <c:ptCount val="1"/>
                <c:pt idx="0">
                  <c:v>Toimija 2 vaate 3</c:v>
                </c:pt>
              </c:strCache>
            </c:strRef>
          </c:tx>
          <c:spPr>
            <a:solidFill>
              <a:srgbClr val="E69138"/>
            </a:solidFill>
          </c:spPr>
          <c:invertIfNegative val="1"/>
          <c:cat>
            <c:strRef>
              <c:f>'Yhteenveto raportointiin'!$B$22:$F$22</c:f>
              <c:strCache>
                <c:ptCount val="5"/>
                <c:pt idx="0">
                  <c:v>Pesu ja kuivaus pesulassa (kg CO₂e/a)</c:v>
                </c:pt>
                <c:pt idx="1">
                  <c:v>Kaasukuivaus, maakaasu (kg CO₂e/a)</c:v>
                </c:pt>
                <c:pt idx="2">
                  <c:v>Kaasukuivatus, biokaasu (kg CO₂e/a)</c:v>
                </c:pt>
                <c:pt idx="3">
                  <c:v>Kuljetukset, suorat päästöt (kg CO₂e/a)</c:v>
                </c:pt>
                <c:pt idx="4">
                  <c:v>Polttoaineen valmistus (kg CO₂e/a)</c:v>
                </c:pt>
              </c:strCache>
            </c:strRef>
          </c:cat>
          <c:val>
            <c:numRef>
              <c:f>'Yhteenveto raportointiin'!$B$25:$F$25</c:f>
              <c:numCache>
                <c:formatCode>0.00</c:formatCode>
                <c:ptCount val="5"/>
                <c:pt idx="0">
                  <c:v>4.13</c:v>
                </c:pt>
                <c:pt idx="1">
                  <c:v>25.34</c:v>
                </c:pt>
                <c:pt idx="2">
                  <c:v>0</c:v>
                </c:pt>
                <c:pt idx="3">
                  <c:v>0.01</c:v>
                </c:pt>
                <c:pt idx="4">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2-B4F4-42B8-A983-9F45DA7A778C}"/>
            </c:ext>
          </c:extLst>
        </c:ser>
        <c:ser>
          <c:idx val="3"/>
          <c:order val="3"/>
          <c:tx>
            <c:strRef>
              <c:f>'Yhteenveto raportointiin'!$A$26</c:f>
              <c:strCache>
                <c:ptCount val="1"/>
                <c:pt idx="0">
                  <c:v>Toimija 2 vaate 4</c:v>
                </c:pt>
              </c:strCache>
            </c:strRef>
          </c:tx>
          <c:spPr>
            <a:solidFill>
              <a:srgbClr val="F6B26B"/>
            </a:solidFill>
          </c:spPr>
          <c:invertIfNegative val="1"/>
          <c:cat>
            <c:strRef>
              <c:f>'Yhteenveto raportointiin'!$B$22:$F$22</c:f>
              <c:strCache>
                <c:ptCount val="5"/>
                <c:pt idx="0">
                  <c:v>Pesu ja kuivaus pesulassa (kg CO₂e/a)</c:v>
                </c:pt>
                <c:pt idx="1">
                  <c:v>Kaasukuivaus, maakaasu (kg CO₂e/a)</c:v>
                </c:pt>
                <c:pt idx="2">
                  <c:v>Kaasukuivatus, biokaasu (kg CO₂e/a)</c:v>
                </c:pt>
                <c:pt idx="3">
                  <c:v>Kuljetukset, suorat päästöt (kg CO₂e/a)</c:v>
                </c:pt>
                <c:pt idx="4">
                  <c:v>Polttoaineen valmistus (kg CO₂e/a)</c:v>
                </c:pt>
              </c:strCache>
            </c:strRef>
          </c:cat>
          <c:val>
            <c:numRef>
              <c:f>'Yhteenveto raportointiin'!$B$26:$F$26</c:f>
              <c:numCache>
                <c:formatCode>0.00</c:formatCode>
                <c:ptCount val="5"/>
                <c:pt idx="0">
                  <c:v>1.03</c:v>
                </c:pt>
                <c:pt idx="1">
                  <c:v>6.34</c:v>
                </c:pt>
                <c:pt idx="2">
                  <c:v>0</c:v>
                </c:pt>
                <c:pt idx="3">
                  <c:v>0</c:v>
                </c:pt>
                <c:pt idx="4">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3-B4F4-42B8-A983-9F45DA7A778C}"/>
            </c:ext>
          </c:extLst>
        </c:ser>
        <c:ser>
          <c:idx val="4"/>
          <c:order val="4"/>
          <c:tx>
            <c:strRef>
              <c:f>'Yhteenveto raportointiin'!$A$27</c:f>
              <c:strCache>
                <c:ptCount val="1"/>
                <c:pt idx="0">
                  <c:v>Toimija 2 vaate 5</c:v>
                </c:pt>
              </c:strCache>
            </c:strRef>
          </c:tx>
          <c:spPr>
            <a:solidFill>
              <a:srgbClr val="F9CB9C"/>
            </a:solidFill>
          </c:spPr>
          <c:invertIfNegative val="1"/>
          <c:cat>
            <c:strRef>
              <c:f>'Yhteenveto raportointiin'!$B$22:$F$22</c:f>
              <c:strCache>
                <c:ptCount val="5"/>
                <c:pt idx="0">
                  <c:v>Pesu ja kuivaus pesulassa (kg CO₂e/a)</c:v>
                </c:pt>
                <c:pt idx="1">
                  <c:v>Kaasukuivaus, maakaasu (kg CO₂e/a)</c:v>
                </c:pt>
                <c:pt idx="2">
                  <c:v>Kaasukuivatus, biokaasu (kg CO₂e/a)</c:v>
                </c:pt>
                <c:pt idx="3">
                  <c:v>Kuljetukset, suorat päästöt (kg CO₂e/a)</c:v>
                </c:pt>
                <c:pt idx="4">
                  <c:v>Polttoaineen valmistus (kg CO₂e/a)</c:v>
                </c:pt>
              </c:strCache>
            </c:strRef>
          </c:cat>
          <c:val>
            <c:numRef>
              <c:f>'Yhteenveto raportointiin'!$B$27:$F$27</c:f>
              <c:numCache>
                <c:formatCode>0.00</c:formatCode>
                <c:ptCount val="5"/>
                <c:pt idx="0">
                  <c:v>1.03</c:v>
                </c:pt>
                <c:pt idx="1">
                  <c:v>6.34</c:v>
                </c:pt>
                <c:pt idx="2">
                  <c:v>0</c:v>
                </c:pt>
                <c:pt idx="3">
                  <c:v>0</c:v>
                </c:pt>
                <c:pt idx="4">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4-B4F4-42B8-A983-9F45DA7A778C}"/>
            </c:ext>
          </c:extLst>
        </c:ser>
        <c:dLbls>
          <c:showLegendKey val="0"/>
          <c:showVal val="0"/>
          <c:showCatName val="0"/>
          <c:showSerName val="0"/>
          <c:showPercent val="0"/>
          <c:showBubbleSize val="0"/>
        </c:dLbls>
        <c:gapWidth val="150"/>
        <c:overlap val="100"/>
        <c:axId val="1547063239"/>
        <c:axId val="1532165622"/>
      </c:barChart>
      <c:catAx>
        <c:axId val="1547063239"/>
        <c:scaling>
          <c:orientation val="minMax"/>
        </c:scaling>
        <c:delete val="0"/>
        <c:axPos val="b"/>
        <c:title>
          <c:tx>
            <c:rich>
              <a:bodyPr/>
              <a:lstStyle/>
              <a:p>
                <a:pPr lvl="0">
                  <a:defRPr b="0">
                    <a:solidFill>
                      <a:srgbClr val="000000"/>
                    </a:solidFill>
                    <a:latin typeface="+mn-lt"/>
                  </a:defRPr>
                </a:pPr>
                <a:endParaRPr lang="fi-FI"/>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fi-FI"/>
          </a:p>
        </c:txPr>
        <c:crossAx val="1532165622"/>
        <c:crosses val="autoZero"/>
        <c:auto val="1"/>
        <c:lblAlgn val="ctr"/>
        <c:lblOffset val="100"/>
        <c:noMultiLvlLbl val="1"/>
      </c:catAx>
      <c:valAx>
        <c:axId val="1532165622"/>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fi-FI"/>
              </a:p>
            </c:rich>
          </c:tx>
          <c:overlay val="0"/>
        </c:title>
        <c:numFmt formatCode="0.00" sourceLinked="1"/>
        <c:majorTickMark val="none"/>
        <c:minorTickMark val="none"/>
        <c:tickLblPos val="nextTo"/>
        <c:spPr>
          <a:ln/>
        </c:spPr>
        <c:txPr>
          <a:bodyPr/>
          <a:lstStyle/>
          <a:p>
            <a:pPr lvl="0">
              <a:defRPr b="0">
                <a:solidFill>
                  <a:srgbClr val="000000"/>
                </a:solidFill>
                <a:latin typeface="+mn-lt"/>
              </a:defRPr>
            </a:pPr>
            <a:endParaRPr lang="fi-FI"/>
          </a:p>
        </c:txPr>
        <c:crossAx val="1547063239"/>
        <c:crosses val="autoZero"/>
        <c:crossBetween val="between"/>
      </c:valAx>
    </c:plotArea>
    <c:legend>
      <c:legendPos val="r"/>
      <c:overlay val="0"/>
      <c:txPr>
        <a:bodyPr/>
        <a:lstStyle/>
        <a:p>
          <a:pPr lvl="0">
            <a:defRPr b="0">
              <a:solidFill>
                <a:srgbClr val="1A1A1A"/>
              </a:solidFill>
              <a:latin typeface="+mn-lt"/>
            </a:defRPr>
          </a:pPr>
          <a:endParaRPr lang="fi-FI"/>
        </a:p>
      </c:txPr>
    </c:legend>
    <c:plotVisOnly val="1"/>
    <c:dispBlanksAs val="zero"/>
    <c:showDLblsOverMax val="1"/>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1"/>
  <c:style val="2"/>
  <c:chart>
    <c:autoTitleDeleted val="1"/>
    <c:plotArea>
      <c:layout/>
      <c:barChart>
        <c:barDir val="col"/>
        <c:grouping val="stacked"/>
        <c:varyColors val="1"/>
        <c:ser>
          <c:idx val="0"/>
          <c:order val="0"/>
          <c:tx>
            <c:strRef>
              <c:f>'Yhteenveto raportointiin'!$A$30</c:f>
              <c:strCache>
                <c:ptCount val="1"/>
                <c:pt idx="0">
                  <c:v>Toimija 3 vaate 1</c:v>
                </c:pt>
              </c:strCache>
            </c:strRef>
          </c:tx>
          <c:spPr>
            <a:solidFill>
              <a:srgbClr val="274E13"/>
            </a:solidFill>
          </c:spPr>
          <c:invertIfNegative val="1"/>
          <c:cat>
            <c:strRef>
              <c:f>'Yhteenveto raportointiin'!$B$29:$C$29</c:f>
              <c:strCache>
                <c:ptCount val="2"/>
                <c:pt idx="0">
                  <c:v>Pesut toimipisteellä (kg CO₂e/a)</c:v>
                </c:pt>
                <c:pt idx="1">
                  <c:v>Kaappikuivatus toimipisteellä (kg CO₂e/a)</c:v>
                </c:pt>
              </c:strCache>
            </c:strRef>
          </c:cat>
          <c:val>
            <c:numRef>
              <c:f>'Yhteenveto raportointiin'!$B$30:$C$30</c:f>
              <c:numCache>
                <c:formatCode>0.00</c:formatCode>
                <c:ptCount val="2"/>
                <c:pt idx="0">
                  <c:v>0.44</c:v>
                </c:pt>
                <c:pt idx="1">
                  <c:v>2.84</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0-F1C8-4486-83D2-184CFBA92530}"/>
            </c:ext>
          </c:extLst>
        </c:ser>
        <c:ser>
          <c:idx val="1"/>
          <c:order val="1"/>
          <c:tx>
            <c:strRef>
              <c:f>'Yhteenveto raportointiin'!$A$31</c:f>
              <c:strCache>
                <c:ptCount val="1"/>
                <c:pt idx="0">
                  <c:v>Toimija 3 vaate 2</c:v>
                </c:pt>
              </c:strCache>
            </c:strRef>
          </c:tx>
          <c:spPr>
            <a:solidFill>
              <a:srgbClr val="38761D"/>
            </a:solidFill>
          </c:spPr>
          <c:invertIfNegative val="1"/>
          <c:cat>
            <c:strRef>
              <c:f>'Yhteenveto raportointiin'!$B$29:$C$29</c:f>
              <c:strCache>
                <c:ptCount val="2"/>
                <c:pt idx="0">
                  <c:v>Pesut toimipisteellä (kg CO₂e/a)</c:v>
                </c:pt>
                <c:pt idx="1">
                  <c:v>Kaappikuivatus toimipisteellä (kg CO₂e/a)</c:v>
                </c:pt>
              </c:strCache>
            </c:strRef>
          </c:cat>
          <c:val>
            <c:numRef>
              <c:f>'Yhteenveto raportointiin'!$B$31:$C$31</c:f>
              <c:numCache>
                <c:formatCode>0.00</c:formatCode>
                <c:ptCount val="2"/>
                <c:pt idx="0">
                  <c:v>0.44</c:v>
                </c:pt>
                <c:pt idx="1">
                  <c:v>2.84</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1-F1C8-4486-83D2-184CFBA92530}"/>
            </c:ext>
          </c:extLst>
        </c:ser>
        <c:ser>
          <c:idx val="2"/>
          <c:order val="2"/>
          <c:tx>
            <c:strRef>
              <c:f>'Yhteenveto raportointiin'!$A$32</c:f>
              <c:strCache>
                <c:ptCount val="1"/>
                <c:pt idx="0">
                  <c:v>Toimija 3 vaate 3</c:v>
                </c:pt>
              </c:strCache>
            </c:strRef>
          </c:tx>
          <c:spPr>
            <a:solidFill>
              <a:srgbClr val="6AA84F"/>
            </a:solidFill>
          </c:spPr>
          <c:invertIfNegative val="1"/>
          <c:cat>
            <c:strRef>
              <c:f>'Yhteenveto raportointiin'!$B$29:$C$29</c:f>
              <c:strCache>
                <c:ptCount val="2"/>
                <c:pt idx="0">
                  <c:v>Pesut toimipisteellä (kg CO₂e/a)</c:v>
                </c:pt>
                <c:pt idx="1">
                  <c:v>Kaappikuivatus toimipisteellä (kg CO₂e/a)</c:v>
                </c:pt>
              </c:strCache>
            </c:strRef>
          </c:cat>
          <c:val>
            <c:numRef>
              <c:f>'Yhteenveto raportointiin'!$B$32:$C$32</c:f>
              <c:numCache>
                <c:formatCode>0.00</c:formatCode>
                <c:ptCount val="2"/>
                <c:pt idx="0">
                  <c:v>0.44</c:v>
                </c:pt>
                <c:pt idx="1">
                  <c:v>2.84</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2-F1C8-4486-83D2-184CFBA92530}"/>
            </c:ext>
          </c:extLst>
        </c:ser>
        <c:ser>
          <c:idx val="3"/>
          <c:order val="3"/>
          <c:tx>
            <c:strRef>
              <c:f>'Yhteenveto raportointiin'!$A$33</c:f>
              <c:strCache>
                <c:ptCount val="1"/>
                <c:pt idx="0">
                  <c:v>Toimija 3 vaate 4</c:v>
                </c:pt>
              </c:strCache>
            </c:strRef>
          </c:tx>
          <c:spPr>
            <a:solidFill>
              <a:srgbClr val="93C47D"/>
            </a:solidFill>
          </c:spPr>
          <c:invertIfNegative val="1"/>
          <c:cat>
            <c:strRef>
              <c:f>'Yhteenveto raportointiin'!$B$29:$C$29</c:f>
              <c:strCache>
                <c:ptCount val="2"/>
                <c:pt idx="0">
                  <c:v>Pesut toimipisteellä (kg CO₂e/a)</c:v>
                </c:pt>
                <c:pt idx="1">
                  <c:v>Kaappikuivatus toimipisteellä (kg CO₂e/a)</c:v>
                </c:pt>
              </c:strCache>
            </c:strRef>
          </c:cat>
          <c:val>
            <c:numRef>
              <c:f>'Yhteenveto raportointiin'!$B$33:$C$33</c:f>
              <c:numCache>
                <c:formatCode>0.00</c:formatCode>
                <c:ptCount val="2"/>
                <c:pt idx="0">
                  <c:v>0.44</c:v>
                </c:pt>
                <c:pt idx="1">
                  <c:v>2.84</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3-F1C8-4486-83D2-184CFBA92530}"/>
            </c:ext>
          </c:extLst>
        </c:ser>
        <c:dLbls>
          <c:showLegendKey val="0"/>
          <c:showVal val="0"/>
          <c:showCatName val="0"/>
          <c:showSerName val="0"/>
          <c:showPercent val="0"/>
          <c:showBubbleSize val="0"/>
        </c:dLbls>
        <c:gapWidth val="150"/>
        <c:overlap val="100"/>
        <c:axId val="717311319"/>
        <c:axId val="661859326"/>
      </c:barChart>
      <c:catAx>
        <c:axId val="717311319"/>
        <c:scaling>
          <c:orientation val="minMax"/>
        </c:scaling>
        <c:delete val="0"/>
        <c:axPos val="b"/>
        <c:title>
          <c:tx>
            <c:rich>
              <a:bodyPr/>
              <a:lstStyle/>
              <a:p>
                <a:pPr lvl="0">
                  <a:defRPr b="0">
                    <a:solidFill>
                      <a:srgbClr val="000000"/>
                    </a:solidFill>
                    <a:latin typeface="+mn-lt"/>
                  </a:defRPr>
                </a:pPr>
                <a:endParaRPr lang="fi-FI"/>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fi-FI"/>
          </a:p>
        </c:txPr>
        <c:crossAx val="661859326"/>
        <c:crosses val="autoZero"/>
        <c:auto val="1"/>
        <c:lblAlgn val="ctr"/>
        <c:lblOffset val="100"/>
        <c:noMultiLvlLbl val="1"/>
      </c:catAx>
      <c:valAx>
        <c:axId val="661859326"/>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fi-FI"/>
              </a:p>
            </c:rich>
          </c:tx>
          <c:overlay val="0"/>
        </c:title>
        <c:numFmt formatCode="0.00" sourceLinked="1"/>
        <c:majorTickMark val="none"/>
        <c:minorTickMark val="none"/>
        <c:tickLblPos val="nextTo"/>
        <c:spPr>
          <a:ln/>
        </c:spPr>
        <c:txPr>
          <a:bodyPr/>
          <a:lstStyle/>
          <a:p>
            <a:pPr lvl="0">
              <a:defRPr b="0">
                <a:solidFill>
                  <a:srgbClr val="000000"/>
                </a:solidFill>
                <a:latin typeface="+mn-lt"/>
              </a:defRPr>
            </a:pPr>
            <a:endParaRPr lang="fi-FI"/>
          </a:p>
        </c:txPr>
        <c:crossAx val="717311319"/>
        <c:crosses val="autoZero"/>
        <c:crossBetween val="between"/>
      </c:valAx>
    </c:plotArea>
    <c:legend>
      <c:legendPos val="r"/>
      <c:overlay val="0"/>
      <c:txPr>
        <a:bodyPr/>
        <a:lstStyle/>
        <a:p>
          <a:pPr lvl="0">
            <a:defRPr b="0">
              <a:solidFill>
                <a:srgbClr val="1A1A1A"/>
              </a:solidFill>
              <a:latin typeface="+mn-lt"/>
            </a:defRPr>
          </a:pPr>
          <a:endParaRPr lang="fi-FI"/>
        </a:p>
      </c:txPr>
    </c:legend>
    <c:plotVisOnly val="1"/>
    <c:dispBlanksAs val="zero"/>
    <c:showDLblsOverMax val="1"/>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1"/>
  <c:style val="2"/>
  <c:chart>
    <c:autoTitleDeleted val="1"/>
    <c:plotArea>
      <c:layout/>
      <c:barChart>
        <c:barDir val="col"/>
        <c:grouping val="stacked"/>
        <c:varyColors val="1"/>
        <c:ser>
          <c:idx val="0"/>
          <c:order val="0"/>
          <c:tx>
            <c:strRef>
              <c:f>'Yhteenveto raportointiin'!$A$36</c:f>
              <c:strCache>
                <c:ptCount val="1"/>
                <c:pt idx="0">
                  <c:v>Toimija 3 vaate 1</c:v>
                </c:pt>
              </c:strCache>
            </c:strRef>
          </c:tx>
          <c:spPr>
            <a:solidFill>
              <a:srgbClr val="274E13"/>
            </a:solidFill>
          </c:spPr>
          <c:invertIfNegative val="1"/>
          <c:cat>
            <c:strRef>
              <c:f>'Yhteenveto raportointiin'!$B$35:$F$35</c:f>
              <c:strCache>
                <c:ptCount val="5"/>
                <c:pt idx="0">
                  <c:v>Pesu ja kuivaus pesulassa (kg CO₂e/a)</c:v>
                </c:pt>
                <c:pt idx="1">
                  <c:v>Kaasukuivaus, maakaasu (kg CO₂e/a)</c:v>
                </c:pt>
                <c:pt idx="2">
                  <c:v>Kaasukuivatus, biokaasu (kg CO₂e/a)</c:v>
                </c:pt>
                <c:pt idx="3">
                  <c:v>Kuljetukset, suorat päästöt (kg CO₂e/a)</c:v>
                </c:pt>
                <c:pt idx="4">
                  <c:v>Polttoaineen valmistus (kg CO₂e/a)</c:v>
                </c:pt>
              </c:strCache>
            </c:strRef>
          </c:cat>
          <c:val>
            <c:numRef>
              <c:f>'Yhteenveto raportointiin'!$B$36:$F$36</c:f>
              <c:numCache>
                <c:formatCode>0.00</c:formatCode>
                <c:ptCount val="5"/>
                <c:pt idx="0">
                  <c:v>1.03</c:v>
                </c:pt>
                <c:pt idx="1">
                  <c:v>6.34</c:v>
                </c:pt>
                <c:pt idx="2">
                  <c:v>0</c:v>
                </c:pt>
                <c:pt idx="3">
                  <c:v>0</c:v>
                </c:pt>
                <c:pt idx="4">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0-F155-4B5F-8FB3-48C996034F53}"/>
            </c:ext>
          </c:extLst>
        </c:ser>
        <c:ser>
          <c:idx val="1"/>
          <c:order val="1"/>
          <c:tx>
            <c:strRef>
              <c:f>'Yhteenveto raportointiin'!$A$37</c:f>
              <c:strCache>
                <c:ptCount val="1"/>
                <c:pt idx="0">
                  <c:v>Toimija 3 vaate 2</c:v>
                </c:pt>
              </c:strCache>
            </c:strRef>
          </c:tx>
          <c:spPr>
            <a:solidFill>
              <a:srgbClr val="38761D"/>
            </a:solidFill>
          </c:spPr>
          <c:invertIfNegative val="1"/>
          <c:cat>
            <c:strRef>
              <c:f>'Yhteenveto raportointiin'!$B$35:$F$35</c:f>
              <c:strCache>
                <c:ptCount val="5"/>
                <c:pt idx="0">
                  <c:v>Pesu ja kuivaus pesulassa (kg CO₂e/a)</c:v>
                </c:pt>
                <c:pt idx="1">
                  <c:v>Kaasukuivaus, maakaasu (kg CO₂e/a)</c:v>
                </c:pt>
                <c:pt idx="2">
                  <c:v>Kaasukuivatus, biokaasu (kg CO₂e/a)</c:v>
                </c:pt>
                <c:pt idx="3">
                  <c:v>Kuljetukset, suorat päästöt (kg CO₂e/a)</c:v>
                </c:pt>
                <c:pt idx="4">
                  <c:v>Polttoaineen valmistus (kg CO₂e/a)</c:v>
                </c:pt>
              </c:strCache>
            </c:strRef>
          </c:cat>
          <c:val>
            <c:numRef>
              <c:f>'Yhteenveto raportointiin'!$B$37:$F$37</c:f>
              <c:numCache>
                <c:formatCode>0.00</c:formatCode>
                <c:ptCount val="5"/>
                <c:pt idx="0">
                  <c:v>1.03</c:v>
                </c:pt>
                <c:pt idx="1">
                  <c:v>6.34</c:v>
                </c:pt>
                <c:pt idx="2">
                  <c:v>0</c:v>
                </c:pt>
                <c:pt idx="3">
                  <c:v>0</c:v>
                </c:pt>
                <c:pt idx="4">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1-F155-4B5F-8FB3-48C996034F53}"/>
            </c:ext>
          </c:extLst>
        </c:ser>
        <c:ser>
          <c:idx val="2"/>
          <c:order val="2"/>
          <c:tx>
            <c:strRef>
              <c:f>'Yhteenveto raportointiin'!$A$38</c:f>
              <c:strCache>
                <c:ptCount val="1"/>
                <c:pt idx="0">
                  <c:v>Toimija 3 vaate 3</c:v>
                </c:pt>
              </c:strCache>
            </c:strRef>
          </c:tx>
          <c:spPr>
            <a:solidFill>
              <a:srgbClr val="6AA84F"/>
            </a:solidFill>
          </c:spPr>
          <c:invertIfNegative val="1"/>
          <c:cat>
            <c:strRef>
              <c:f>'Yhteenveto raportointiin'!$B$35:$F$35</c:f>
              <c:strCache>
                <c:ptCount val="5"/>
                <c:pt idx="0">
                  <c:v>Pesu ja kuivaus pesulassa (kg CO₂e/a)</c:v>
                </c:pt>
                <c:pt idx="1">
                  <c:v>Kaasukuivaus, maakaasu (kg CO₂e/a)</c:v>
                </c:pt>
                <c:pt idx="2">
                  <c:v>Kaasukuivatus, biokaasu (kg CO₂e/a)</c:v>
                </c:pt>
                <c:pt idx="3">
                  <c:v>Kuljetukset, suorat päästöt (kg CO₂e/a)</c:v>
                </c:pt>
                <c:pt idx="4">
                  <c:v>Polttoaineen valmistus (kg CO₂e/a)</c:v>
                </c:pt>
              </c:strCache>
            </c:strRef>
          </c:cat>
          <c:val>
            <c:numRef>
              <c:f>'Yhteenveto raportointiin'!$B$38:$F$38</c:f>
              <c:numCache>
                <c:formatCode>0.00</c:formatCode>
                <c:ptCount val="5"/>
                <c:pt idx="0">
                  <c:v>1.03</c:v>
                </c:pt>
                <c:pt idx="1">
                  <c:v>6.34</c:v>
                </c:pt>
                <c:pt idx="2">
                  <c:v>0</c:v>
                </c:pt>
                <c:pt idx="3">
                  <c:v>0</c:v>
                </c:pt>
                <c:pt idx="4">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2-F155-4B5F-8FB3-48C996034F53}"/>
            </c:ext>
          </c:extLst>
        </c:ser>
        <c:ser>
          <c:idx val="3"/>
          <c:order val="3"/>
          <c:tx>
            <c:strRef>
              <c:f>'Yhteenveto raportointiin'!$A$39</c:f>
              <c:strCache>
                <c:ptCount val="1"/>
                <c:pt idx="0">
                  <c:v>Toimija 3 vaate 4</c:v>
                </c:pt>
              </c:strCache>
            </c:strRef>
          </c:tx>
          <c:spPr>
            <a:solidFill>
              <a:srgbClr val="93C47D"/>
            </a:solidFill>
          </c:spPr>
          <c:invertIfNegative val="1"/>
          <c:cat>
            <c:strRef>
              <c:f>'Yhteenveto raportointiin'!$B$35:$F$35</c:f>
              <c:strCache>
                <c:ptCount val="5"/>
                <c:pt idx="0">
                  <c:v>Pesu ja kuivaus pesulassa (kg CO₂e/a)</c:v>
                </c:pt>
                <c:pt idx="1">
                  <c:v>Kaasukuivaus, maakaasu (kg CO₂e/a)</c:v>
                </c:pt>
                <c:pt idx="2">
                  <c:v>Kaasukuivatus, biokaasu (kg CO₂e/a)</c:v>
                </c:pt>
                <c:pt idx="3">
                  <c:v>Kuljetukset, suorat päästöt (kg CO₂e/a)</c:v>
                </c:pt>
                <c:pt idx="4">
                  <c:v>Polttoaineen valmistus (kg CO₂e/a)</c:v>
                </c:pt>
              </c:strCache>
            </c:strRef>
          </c:cat>
          <c:val>
            <c:numRef>
              <c:f>'Yhteenveto raportointiin'!$B$39:$F$39</c:f>
              <c:numCache>
                <c:formatCode>0.00</c:formatCode>
                <c:ptCount val="5"/>
                <c:pt idx="0">
                  <c:v>1.03</c:v>
                </c:pt>
                <c:pt idx="1">
                  <c:v>6.34</c:v>
                </c:pt>
                <c:pt idx="2">
                  <c:v>0</c:v>
                </c:pt>
                <c:pt idx="3">
                  <c:v>0</c:v>
                </c:pt>
                <c:pt idx="4">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3-F155-4B5F-8FB3-48C996034F53}"/>
            </c:ext>
          </c:extLst>
        </c:ser>
        <c:dLbls>
          <c:showLegendKey val="0"/>
          <c:showVal val="0"/>
          <c:showCatName val="0"/>
          <c:showSerName val="0"/>
          <c:showPercent val="0"/>
          <c:showBubbleSize val="0"/>
        </c:dLbls>
        <c:gapWidth val="150"/>
        <c:overlap val="100"/>
        <c:axId val="1407857546"/>
        <c:axId val="1040296445"/>
      </c:barChart>
      <c:catAx>
        <c:axId val="1407857546"/>
        <c:scaling>
          <c:orientation val="minMax"/>
        </c:scaling>
        <c:delete val="0"/>
        <c:axPos val="b"/>
        <c:title>
          <c:tx>
            <c:rich>
              <a:bodyPr/>
              <a:lstStyle/>
              <a:p>
                <a:pPr lvl="0">
                  <a:defRPr b="0">
                    <a:solidFill>
                      <a:srgbClr val="000000"/>
                    </a:solidFill>
                    <a:latin typeface="+mn-lt"/>
                  </a:defRPr>
                </a:pPr>
                <a:endParaRPr lang="fi-FI"/>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fi-FI"/>
          </a:p>
        </c:txPr>
        <c:crossAx val="1040296445"/>
        <c:crosses val="autoZero"/>
        <c:auto val="1"/>
        <c:lblAlgn val="ctr"/>
        <c:lblOffset val="100"/>
        <c:noMultiLvlLbl val="1"/>
      </c:catAx>
      <c:valAx>
        <c:axId val="1040296445"/>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fi-FI"/>
              </a:p>
            </c:rich>
          </c:tx>
          <c:overlay val="0"/>
        </c:title>
        <c:numFmt formatCode="0.00" sourceLinked="1"/>
        <c:majorTickMark val="none"/>
        <c:minorTickMark val="none"/>
        <c:tickLblPos val="nextTo"/>
        <c:spPr>
          <a:ln/>
        </c:spPr>
        <c:txPr>
          <a:bodyPr/>
          <a:lstStyle/>
          <a:p>
            <a:pPr lvl="0">
              <a:defRPr b="0">
                <a:solidFill>
                  <a:srgbClr val="000000"/>
                </a:solidFill>
                <a:latin typeface="+mn-lt"/>
              </a:defRPr>
            </a:pPr>
            <a:endParaRPr lang="fi-FI"/>
          </a:p>
        </c:txPr>
        <c:crossAx val="1407857546"/>
        <c:crosses val="autoZero"/>
        <c:crossBetween val="between"/>
      </c:valAx>
    </c:plotArea>
    <c:legend>
      <c:legendPos val="r"/>
      <c:overlay val="0"/>
      <c:txPr>
        <a:bodyPr/>
        <a:lstStyle/>
        <a:p>
          <a:pPr lvl="0">
            <a:defRPr b="0">
              <a:solidFill>
                <a:srgbClr val="1A1A1A"/>
              </a:solidFill>
              <a:latin typeface="+mn-lt"/>
            </a:defRPr>
          </a:pPr>
          <a:endParaRPr lang="fi-FI"/>
        </a:p>
      </c:txPr>
    </c:legend>
    <c:plotVisOnly val="1"/>
    <c:dispBlanksAs val="zero"/>
    <c:showDLblsOverMax val="1"/>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1"/>
  <c:style val="2"/>
  <c:chart>
    <c:autoTitleDeleted val="1"/>
    <c:plotArea>
      <c:layout/>
      <c:barChart>
        <c:barDir val="col"/>
        <c:grouping val="stacked"/>
        <c:varyColors val="1"/>
        <c:ser>
          <c:idx val="0"/>
          <c:order val="0"/>
          <c:tx>
            <c:strRef>
              <c:f>'Yhteenveto raportointiin'!$B$41</c:f>
              <c:strCache>
                <c:ptCount val="1"/>
                <c:pt idx="0">
                  <c:v>Hankintahinta / pesuväli</c:v>
                </c:pt>
              </c:strCache>
            </c:strRef>
          </c:tx>
          <c:spPr>
            <a:solidFill>
              <a:srgbClr val="4285F4"/>
            </a:solidFill>
          </c:spPr>
          <c:invertIfNegative val="1"/>
          <c:cat>
            <c:strRef>
              <c:f>'Yhteenveto raportointiin'!$A$42:$A$43</c:f>
              <c:strCache>
                <c:ptCount val="2"/>
                <c:pt idx="0">
                  <c:v>Toimija 1 Talvivaate 1</c:v>
                </c:pt>
                <c:pt idx="1">
                  <c:v>Toimija 1 Talvivaate 2</c:v>
                </c:pt>
              </c:strCache>
            </c:strRef>
          </c:cat>
          <c:val>
            <c:numRef>
              <c:f>'Yhteenveto raportointiin'!$B$42:$B$43</c:f>
              <c:numCache>
                <c:formatCode>#\ ##0.00\ [$€-1]</c:formatCode>
                <c:ptCount val="2"/>
                <c:pt idx="0">
                  <c:v>6.5664818115798496E-2</c:v>
                </c:pt>
                <c:pt idx="1">
                  <c:v>0.13132963623159699</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0-FDEC-4297-8F9C-AEC86B7CA141}"/>
            </c:ext>
          </c:extLst>
        </c:ser>
        <c:ser>
          <c:idx val="1"/>
          <c:order val="1"/>
          <c:tx>
            <c:strRef>
              <c:f>'Yhteenveto raportointiin'!$C$41</c:f>
              <c:strCache>
                <c:ptCount val="1"/>
                <c:pt idx="0">
                  <c:v>Pesukoneen hinta / pesu</c:v>
                </c:pt>
              </c:strCache>
            </c:strRef>
          </c:tx>
          <c:spPr>
            <a:solidFill>
              <a:srgbClr val="EA4335"/>
            </a:solidFill>
          </c:spPr>
          <c:invertIfNegative val="1"/>
          <c:cat>
            <c:strRef>
              <c:f>'Yhteenveto raportointiin'!$A$42:$A$43</c:f>
              <c:strCache>
                <c:ptCount val="2"/>
                <c:pt idx="0">
                  <c:v>Toimija 1 Talvivaate 1</c:v>
                </c:pt>
                <c:pt idx="1">
                  <c:v>Toimija 1 Talvivaate 2</c:v>
                </c:pt>
              </c:strCache>
            </c:strRef>
          </c:cat>
          <c:val>
            <c:numRef>
              <c:f>'Yhteenveto raportointiin'!$C$42:$C$43</c:f>
              <c:numCache>
                <c:formatCode>#\ ##0.00\ [$€-1]</c:formatCode>
                <c:ptCount val="2"/>
                <c:pt idx="0">
                  <c:v>3.2404735799334443E-2</c:v>
                </c:pt>
                <c:pt idx="1">
                  <c:v>3.2404735799334443E-2</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1-FDEC-4297-8F9C-AEC86B7CA141}"/>
            </c:ext>
          </c:extLst>
        </c:ser>
        <c:ser>
          <c:idx val="2"/>
          <c:order val="2"/>
          <c:tx>
            <c:strRef>
              <c:f>'Yhteenveto raportointiin'!$D$41</c:f>
              <c:strCache>
                <c:ptCount val="1"/>
                <c:pt idx="0">
                  <c:v>Pesukoneen sähkö / pesu</c:v>
                </c:pt>
              </c:strCache>
            </c:strRef>
          </c:tx>
          <c:spPr>
            <a:solidFill>
              <a:srgbClr val="FBBC04"/>
            </a:solidFill>
          </c:spPr>
          <c:invertIfNegative val="1"/>
          <c:cat>
            <c:strRef>
              <c:f>'Yhteenveto raportointiin'!$A$42:$A$43</c:f>
              <c:strCache>
                <c:ptCount val="2"/>
                <c:pt idx="0">
                  <c:v>Toimija 1 Talvivaate 1</c:v>
                </c:pt>
                <c:pt idx="1">
                  <c:v>Toimija 1 Talvivaate 2</c:v>
                </c:pt>
              </c:strCache>
            </c:strRef>
          </c:cat>
          <c:val>
            <c:numRef>
              <c:f>'Yhteenveto raportointiin'!$D$42:$D$43</c:f>
              <c:numCache>
                <c:formatCode>#\ ##0.00\ [$€-1]</c:formatCode>
                <c:ptCount val="2"/>
                <c:pt idx="0">
                  <c:v>6.9071891774891781E-3</c:v>
                </c:pt>
                <c:pt idx="1">
                  <c:v>6.9071891774891781E-3</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2-FDEC-4297-8F9C-AEC86B7CA141}"/>
            </c:ext>
          </c:extLst>
        </c:ser>
        <c:ser>
          <c:idx val="3"/>
          <c:order val="3"/>
          <c:tx>
            <c:strRef>
              <c:f>'Yhteenveto raportointiin'!$E$41</c:f>
              <c:strCache>
                <c:ptCount val="1"/>
                <c:pt idx="0">
                  <c:v>Pesuveden käyttömaksu</c:v>
                </c:pt>
              </c:strCache>
            </c:strRef>
          </c:tx>
          <c:spPr>
            <a:solidFill>
              <a:srgbClr val="34A853"/>
            </a:solidFill>
          </c:spPr>
          <c:invertIfNegative val="1"/>
          <c:cat>
            <c:strRef>
              <c:f>'Yhteenveto raportointiin'!$A$42:$A$43</c:f>
              <c:strCache>
                <c:ptCount val="2"/>
                <c:pt idx="0">
                  <c:v>Toimija 1 Talvivaate 1</c:v>
                </c:pt>
                <c:pt idx="1">
                  <c:v>Toimija 1 Talvivaate 2</c:v>
                </c:pt>
              </c:strCache>
            </c:strRef>
          </c:cat>
          <c:val>
            <c:numRef>
              <c:f>'Yhteenveto raportointiin'!$E$42:$E$43</c:f>
              <c:numCache>
                <c:formatCode>#\ ##0.00\ [$€-1]</c:formatCode>
                <c:ptCount val="2"/>
                <c:pt idx="0">
                  <c:v>8.8267683333333336E-3</c:v>
                </c:pt>
                <c:pt idx="1">
                  <c:v>8.8267683333333336E-3</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3-FDEC-4297-8F9C-AEC86B7CA141}"/>
            </c:ext>
          </c:extLst>
        </c:ser>
        <c:ser>
          <c:idx val="4"/>
          <c:order val="4"/>
          <c:tx>
            <c:strRef>
              <c:f>'Yhteenveto raportointiin'!$F$41</c:f>
              <c:strCache>
                <c:ptCount val="1"/>
                <c:pt idx="0">
                  <c:v>Jäteveden käyttömaksu</c:v>
                </c:pt>
              </c:strCache>
            </c:strRef>
          </c:tx>
          <c:spPr>
            <a:solidFill>
              <a:srgbClr val="FF6D01"/>
            </a:solidFill>
          </c:spPr>
          <c:invertIfNegative val="1"/>
          <c:cat>
            <c:strRef>
              <c:f>'Yhteenveto raportointiin'!$A$42:$A$43</c:f>
              <c:strCache>
                <c:ptCount val="2"/>
                <c:pt idx="0">
                  <c:v>Toimija 1 Talvivaate 1</c:v>
                </c:pt>
                <c:pt idx="1">
                  <c:v>Toimija 1 Talvivaate 2</c:v>
                </c:pt>
              </c:strCache>
            </c:strRef>
          </c:cat>
          <c:val>
            <c:numRef>
              <c:f>'Yhteenveto raportointiin'!$F$42:$F$43</c:f>
              <c:numCache>
                <c:formatCode>#\ ##0.00\ [$€-1]</c:formatCode>
                <c:ptCount val="2"/>
                <c:pt idx="0">
                  <c:v>1.0458607857142857E-2</c:v>
                </c:pt>
                <c:pt idx="1">
                  <c:v>1.0458607857142857E-2</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4-FDEC-4297-8F9C-AEC86B7CA141}"/>
            </c:ext>
          </c:extLst>
        </c:ser>
        <c:ser>
          <c:idx val="5"/>
          <c:order val="5"/>
          <c:tx>
            <c:strRef>
              <c:f>'Yhteenveto raportointiin'!$G$41</c:f>
              <c:strCache>
                <c:ptCount val="1"/>
                <c:pt idx="0">
                  <c:v>Veden perusmaksu</c:v>
                </c:pt>
              </c:strCache>
            </c:strRef>
          </c:tx>
          <c:spPr>
            <a:solidFill>
              <a:srgbClr val="46BDC6"/>
            </a:solidFill>
          </c:spPr>
          <c:invertIfNegative val="1"/>
          <c:cat>
            <c:strRef>
              <c:f>'Yhteenveto raportointiin'!$A$42:$A$43</c:f>
              <c:strCache>
                <c:ptCount val="2"/>
                <c:pt idx="0">
                  <c:v>Toimija 1 Talvivaate 1</c:v>
                </c:pt>
                <c:pt idx="1">
                  <c:v>Toimija 1 Talvivaate 2</c:v>
                </c:pt>
              </c:strCache>
            </c:strRef>
          </c:cat>
          <c:val>
            <c:numRef>
              <c:f>'Yhteenveto raportointiin'!$G$42:$G$43</c:f>
              <c:numCache>
                <c:formatCode>#\ ##0.00\ [$€-1]</c:formatCode>
                <c:ptCount val="2"/>
                <c:pt idx="0">
                  <c:v>7.4174523809523811E-4</c:v>
                </c:pt>
                <c:pt idx="1">
                  <c:v>7.4174523809523811E-4</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5-FDEC-4297-8F9C-AEC86B7CA141}"/>
            </c:ext>
          </c:extLst>
        </c:ser>
        <c:ser>
          <c:idx val="6"/>
          <c:order val="6"/>
          <c:tx>
            <c:strRef>
              <c:f>'Yhteenveto raportointiin'!$H$41</c:f>
              <c:strCache>
                <c:ptCount val="1"/>
                <c:pt idx="0">
                  <c:v>Kuivausrummun hinta / pesu</c:v>
                </c:pt>
              </c:strCache>
            </c:strRef>
          </c:tx>
          <c:spPr>
            <a:solidFill>
              <a:srgbClr val="D3E2FC"/>
            </a:solidFill>
          </c:spPr>
          <c:invertIfNegative val="1"/>
          <c:cat>
            <c:strRef>
              <c:f>'Yhteenveto raportointiin'!$A$42:$A$43</c:f>
              <c:strCache>
                <c:ptCount val="2"/>
                <c:pt idx="0">
                  <c:v>Toimija 1 Talvivaate 1</c:v>
                </c:pt>
                <c:pt idx="1">
                  <c:v>Toimija 1 Talvivaate 2</c:v>
                </c:pt>
              </c:strCache>
            </c:strRef>
          </c:cat>
          <c:val>
            <c:numRef>
              <c:f>'Yhteenveto raportointiin'!$H$42:$H$43</c:f>
              <c:numCache>
                <c:formatCode>#\ ##0.00\ [$€-1]</c:formatCode>
                <c:ptCount val="2"/>
                <c:pt idx="0">
                  <c:v>0</c:v>
                </c:pt>
                <c:pt idx="1">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6-FDEC-4297-8F9C-AEC86B7CA141}"/>
            </c:ext>
          </c:extLst>
        </c:ser>
        <c:ser>
          <c:idx val="7"/>
          <c:order val="7"/>
          <c:tx>
            <c:strRef>
              <c:f>'Yhteenveto raportointiin'!$I$41</c:f>
              <c:strCache>
                <c:ptCount val="1"/>
                <c:pt idx="0">
                  <c:v>Kuivausrummun sähkö</c:v>
                </c:pt>
              </c:strCache>
            </c:strRef>
          </c:tx>
          <c:spPr>
            <a:solidFill>
              <a:srgbClr val="F8C4C0"/>
            </a:solidFill>
          </c:spPr>
          <c:invertIfNegative val="1"/>
          <c:cat>
            <c:strRef>
              <c:f>'Yhteenveto raportointiin'!$A$42:$A$43</c:f>
              <c:strCache>
                <c:ptCount val="2"/>
                <c:pt idx="0">
                  <c:v>Toimija 1 Talvivaate 1</c:v>
                </c:pt>
                <c:pt idx="1">
                  <c:v>Toimija 1 Talvivaate 2</c:v>
                </c:pt>
              </c:strCache>
            </c:strRef>
          </c:cat>
          <c:val>
            <c:numRef>
              <c:f>'Yhteenveto raportointiin'!$I$42:$I$43</c:f>
              <c:numCache>
                <c:formatCode>#\ ##0.00\ [$€-1]</c:formatCode>
                <c:ptCount val="2"/>
                <c:pt idx="0">
                  <c:v>0</c:v>
                </c:pt>
                <c:pt idx="1">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7-FDEC-4297-8F9C-AEC86B7CA141}"/>
            </c:ext>
          </c:extLst>
        </c:ser>
        <c:ser>
          <c:idx val="8"/>
          <c:order val="8"/>
          <c:tx>
            <c:strRef>
              <c:f>'Yhteenveto raportointiin'!$J$41</c:f>
              <c:strCache>
                <c:ptCount val="1"/>
                <c:pt idx="0">
                  <c:v>Kuivauskaapin hinta / pesu</c:v>
                </c:pt>
              </c:strCache>
            </c:strRef>
          </c:tx>
          <c:spPr>
            <a:solidFill>
              <a:srgbClr val="FDE49B"/>
            </a:solidFill>
          </c:spPr>
          <c:invertIfNegative val="1"/>
          <c:cat>
            <c:strRef>
              <c:f>'Yhteenveto raportointiin'!$A$42:$A$43</c:f>
              <c:strCache>
                <c:ptCount val="2"/>
                <c:pt idx="0">
                  <c:v>Toimija 1 Talvivaate 1</c:v>
                </c:pt>
                <c:pt idx="1">
                  <c:v>Toimija 1 Talvivaate 2</c:v>
                </c:pt>
              </c:strCache>
            </c:strRef>
          </c:cat>
          <c:val>
            <c:numRef>
              <c:f>'Yhteenveto raportointiin'!$J$42:$J$43</c:f>
              <c:numCache>
                <c:formatCode>#\ ##0.00\ [$€-1]</c:formatCode>
                <c:ptCount val="2"/>
                <c:pt idx="0">
                  <c:v>0.10634068773603655</c:v>
                </c:pt>
                <c:pt idx="1">
                  <c:v>0.10634068773603655</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8-FDEC-4297-8F9C-AEC86B7CA141}"/>
            </c:ext>
          </c:extLst>
        </c:ser>
        <c:ser>
          <c:idx val="9"/>
          <c:order val="9"/>
          <c:tx>
            <c:strRef>
              <c:f>'Yhteenveto raportointiin'!$K$41</c:f>
              <c:strCache>
                <c:ptCount val="1"/>
                <c:pt idx="0">
                  <c:v>Kuivauskaapin sähkö</c:v>
                </c:pt>
              </c:strCache>
            </c:strRef>
          </c:tx>
          <c:spPr>
            <a:solidFill>
              <a:srgbClr val="96DFAA"/>
            </a:solidFill>
          </c:spPr>
          <c:invertIfNegative val="1"/>
          <c:cat>
            <c:strRef>
              <c:f>'Yhteenveto raportointiin'!$A$42:$A$43</c:f>
              <c:strCache>
                <c:ptCount val="2"/>
                <c:pt idx="0">
                  <c:v>Toimija 1 Talvivaate 1</c:v>
                </c:pt>
                <c:pt idx="1">
                  <c:v>Toimija 1 Talvivaate 2</c:v>
                </c:pt>
              </c:strCache>
            </c:strRef>
          </c:cat>
          <c:val>
            <c:numRef>
              <c:f>'Yhteenveto raportointiin'!$K$42:$K$43</c:f>
              <c:numCache>
                <c:formatCode>#\ ##0.00\ [$€-1]</c:formatCode>
                <c:ptCount val="2"/>
                <c:pt idx="0">
                  <c:v>4.4931999999999993E-2</c:v>
                </c:pt>
                <c:pt idx="1">
                  <c:v>4.4931999999999993E-2</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9-FDEC-4297-8F9C-AEC86B7CA141}"/>
            </c:ext>
          </c:extLst>
        </c:ser>
        <c:ser>
          <c:idx val="10"/>
          <c:order val="10"/>
          <c:tx>
            <c:strRef>
              <c:f>'Yhteenveto raportointiin'!$L$41</c:f>
              <c:strCache>
                <c:ptCount val="1"/>
                <c:pt idx="0">
                  <c:v>Pesuaineen hinta</c:v>
                </c:pt>
              </c:strCache>
            </c:strRef>
          </c:tx>
          <c:spPr>
            <a:solidFill>
              <a:srgbClr val="FFC59A"/>
            </a:solidFill>
          </c:spPr>
          <c:invertIfNegative val="1"/>
          <c:cat>
            <c:strRef>
              <c:f>'Yhteenveto raportointiin'!$A$42:$A$43</c:f>
              <c:strCache>
                <c:ptCount val="2"/>
                <c:pt idx="0">
                  <c:v>Toimija 1 Talvivaate 1</c:v>
                </c:pt>
                <c:pt idx="1">
                  <c:v>Toimija 1 Talvivaate 2</c:v>
                </c:pt>
              </c:strCache>
            </c:strRef>
          </c:cat>
          <c:val>
            <c:numRef>
              <c:f>'Yhteenveto raportointiin'!$L$42:$L$43</c:f>
              <c:numCache>
                <c:formatCode>#\ ##0.00\ [$€-1]</c:formatCode>
                <c:ptCount val="2"/>
                <c:pt idx="0">
                  <c:v>3.8999999999999998E-3</c:v>
                </c:pt>
                <c:pt idx="1">
                  <c:v>3.8999999999999998E-3</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A-FDEC-4297-8F9C-AEC86B7CA141}"/>
            </c:ext>
          </c:extLst>
        </c:ser>
        <c:ser>
          <c:idx val="11"/>
          <c:order val="11"/>
          <c:tx>
            <c:strRef>
              <c:f>'Yhteenveto raportointiin'!$M$41</c:f>
              <c:strCache>
                <c:ptCount val="1"/>
                <c:pt idx="0">
                  <c:v>Pesuun ja kuivaukseen menevän työn hinta</c:v>
                </c:pt>
              </c:strCache>
            </c:strRef>
          </c:tx>
          <c:spPr>
            <a:solidFill>
              <a:srgbClr val="BBE7EA"/>
            </a:solidFill>
          </c:spPr>
          <c:invertIfNegative val="1"/>
          <c:cat>
            <c:strRef>
              <c:f>'Yhteenveto raportointiin'!$A$42:$A$43</c:f>
              <c:strCache>
                <c:ptCount val="2"/>
                <c:pt idx="0">
                  <c:v>Toimija 1 Talvivaate 1</c:v>
                </c:pt>
                <c:pt idx="1">
                  <c:v>Toimija 1 Talvivaate 2</c:v>
                </c:pt>
              </c:strCache>
            </c:strRef>
          </c:cat>
          <c:val>
            <c:numRef>
              <c:f>'Yhteenveto raportointiin'!$M$42:$M$43</c:f>
              <c:numCache>
                <c:formatCode>#\ ##0.00\ [$€-1]</c:formatCode>
                <c:ptCount val="2"/>
                <c:pt idx="0">
                  <c:v>0.55604838709677418</c:v>
                </c:pt>
                <c:pt idx="1">
                  <c:v>0.55604838709677418</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B-FDEC-4297-8F9C-AEC86B7CA141}"/>
            </c:ext>
          </c:extLst>
        </c:ser>
        <c:ser>
          <c:idx val="12"/>
          <c:order val="12"/>
          <c:tx>
            <c:strRef>
              <c:f>'Yhteenveto raportointiin'!$N$41</c:f>
              <c:strCache>
                <c:ptCount val="1"/>
                <c:pt idx="0">
                  <c:v>Jätehuolto</c:v>
                </c:pt>
              </c:strCache>
            </c:strRef>
          </c:tx>
          <c:invertIfNegative val="1"/>
          <c:cat>
            <c:strRef>
              <c:f>'Yhteenveto raportointiin'!$A$42:$A$43</c:f>
              <c:strCache>
                <c:ptCount val="2"/>
                <c:pt idx="0">
                  <c:v>Toimija 1 Talvivaate 1</c:v>
                </c:pt>
                <c:pt idx="1">
                  <c:v>Toimija 1 Talvivaate 2</c:v>
                </c:pt>
              </c:strCache>
            </c:strRef>
          </c:cat>
          <c:val>
            <c:numRef>
              <c:f>'Yhteenveto raportointiin'!$N$42:$N$43</c:f>
              <c:numCache>
                <c:formatCode>#\ ##0.00\ [$€-1]</c:formatCode>
                <c:ptCount val="2"/>
                <c:pt idx="0">
                  <c:v>0</c:v>
                </c:pt>
                <c:pt idx="1">
                  <c:v>0</c:v>
                </c:pt>
              </c:numCache>
            </c:numRef>
          </c:val>
          <c:extLst>
            <c:ext xmlns:c16="http://schemas.microsoft.com/office/drawing/2014/chart" uri="{C3380CC4-5D6E-409C-BE32-E72D297353CC}">
              <c16:uniqueId val="{0000000C-FDEC-4297-8F9C-AEC86B7CA141}"/>
            </c:ext>
          </c:extLst>
        </c:ser>
        <c:ser>
          <c:idx val="13"/>
          <c:order val="13"/>
          <c:tx>
            <c:strRef>
              <c:f>'Yhteenveto raportointiin'!$O$41</c:f>
              <c:strCache>
                <c:ptCount val="1"/>
                <c:pt idx="0">
                  <c:v>Epäoptimaalisen pesun kustannus</c:v>
                </c:pt>
              </c:strCache>
            </c:strRef>
          </c:tx>
          <c:invertIfNegative val="1"/>
          <c:cat>
            <c:strRef>
              <c:f>'Yhteenveto raportointiin'!$A$42:$A$43</c:f>
              <c:strCache>
                <c:ptCount val="2"/>
                <c:pt idx="0">
                  <c:v>Toimija 1 Talvivaate 1</c:v>
                </c:pt>
                <c:pt idx="1">
                  <c:v>Toimija 1 Talvivaate 2</c:v>
                </c:pt>
              </c:strCache>
            </c:strRef>
          </c:cat>
          <c:val>
            <c:numRef>
              <c:f>'Yhteenveto raportointiin'!$O$42:$O$43</c:f>
              <c:numCache>
                <c:formatCode>#\ ##0.00\ [$€-1]</c:formatCode>
                <c:ptCount val="2"/>
                <c:pt idx="0">
                  <c:v>0.60848024432467995</c:v>
                </c:pt>
                <c:pt idx="1">
                  <c:v>0.60848024432467995</c:v>
                </c:pt>
              </c:numCache>
            </c:numRef>
          </c:val>
          <c:extLst>
            <c:ext xmlns:c16="http://schemas.microsoft.com/office/drawing/2014/chart" uri="{C3380CC4-5D6E-409C-BE32-E72D297353CC}">
              <c16:uniqueId val="{0000000D-FDEC-4297-8F9C-AEC86B7CA141}"/>
            </c:ext>
          </c:extLst>
        </c:ser>
        <c:dLbls>
          <c:showLegendKey val="0"/>
          <c:showVal val="0"/>
          <c:showCatName val="0"/>
          <c:showSerName val="0"/>
          <c:showPercent val="0"/>
          <c:showBubbleSize val="0"/>
        </c:dLbls>
        <c:gapWidth val="150"/>
        <c:overlap val="100"/>
        <c:axId val="169992925"/>
        <c:axId val="1634885301"/>
      </c:barChart>
      <c:catAx>
        <c:axId val="169992925"/>
        <c:scaling>
          <c:orientation val="minMax"/>
        </c:scaling>
        <c:delete val="0"/>
        <c:axPos val="b"/>
        <c:title>
          <c:tx>
            <c:rich>
              <a:bodyPr/>
              <a:lstStyle/>
              <a:p>
                <a:pPr lvl="0">
                  <a:defRPr b="0">
                    <a:solidFill>
                      <a:srgbClr val="000000"/>
                    </a:solidFill>
                    <a:latin typeface="+mn-lt"/>
                  </a:defRPr>
                </a:pPr>
                <a:endParaRPr lang="fi-FI"/>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fi-FI"/>
          </a:p>
        </c:txPr>
        <c:crossAx val="1634885301"/>
        <c:crosses val="autoZero"/>
        <c:auto val="1"/>
        <c:lblAlgn val="ctr"/>
        <c:lblOffset val="100"/>
        <c:noMultiLvlLbl val="1"/>
      </c:catAx>
      <c:valAx>
        <c:axId val="1634885301"/>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fi-FI"/>
              </a:p>
            </c:rich>
          </c:tx>
          <c:overlay val="0"/>
        </c:title>
        <c:numFmt formatCode="#,##0.00\ [$€-1]" sourceLinked="0"/>
        <c:majorTickMark val="none"/>
        <c:minorTickMark val="none"/>
        <c:tickLblPos val="nextTo"/>
        <c:spPr>
          <a:ln>
            <a:solidFill/>
          </a:ln>
        </c:spPr>
        <c:txPr>
          <a:bodyPr/>
          <a:lstStyle/>
          <a:p>
            <a:pPr lvl="0">
              <a:defRPr b="0">
                <a:solidFill>
                  <a:srgbClr val="000000"/>
                </a:solidFill>
                <a:latin typeface="+mn-lt"/>
              </a:defRPr>
            </a:pPr>
            <a:endParaRPr lang="fi-FI"/>
          </a:p>
        </c:txPr>
        <c:crossAx val="169992925"/>
        <c:crosses val="autoZero"/>
        <c:crossBetween val="between"/>
      </c:valAx>
    </c:plotArea>
    <c:legend>
      <c:legendPos val="r"/>
      <c:overlay val="0"/>
      <c:txPr>
        <a:bodyPr/>
        <a:lstStyle/>
        <a:p>
          <a:pPr lvl="0">
            <a:defRPr sz="1800" b="0">
              <a:solidFill>
                <a:srgbClr val="1A1A1A"/>
              </a:solidFill>
              <a:latin typeface="+mn-lt"/>
            </a:defRPr>
          </a:pPr>
          <a:endParaRPr lang="fi-FI"/>
        </a:p>
      </c:txPr>
    </c:legend>
    <c:plotVisOnly val="1"/>
    <c:dispBlanksAs val="zero"/>
    <c:showDLblsOverMax val="1"/>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1"/>
  <c:style val="2"/>
  <c:chart>
    <c:autoTitleDeleted val="1"/>
    <c:plotArea>
      <c:layout/>
      <c:barChart>
        <c:barDir val="col"/>
        <c:grouping val="stacked"/>
        <c:varyColors val="1"/>
        <c:ser>
          <c:idx val="0"/>
          <c:order val="0"/>
          <c:tx>
            <c:strRef>
              <c:f>'Yhteenveto raportointiin'!$B$44</c:f>
              <c:strCache>
                <c:ptCount val="1"/>
                <c:pt idx="0">
                  <c:v>Hankintahinta / pesuväli</c:v>
                </c:pt>
              </c:strCache>
            </c:strRef>
          </c:tx>
          <c:spPr>
            <a:solidFill>
              <a:srgbClr val="4285F4"/>
            </a:solidFill>
          </c:spPr>
          <c:invertIfNegative val="1"/>
          <c:cat>
            <c:strRef>
              <c:f>'Yhteenveto raportointiin'!$A$45:$A$49</c:f>
              <c:strCache>
                <c:ptCount val="5"/>
                <c:pt idx="0">
                  <c:v>Toimija 2 vaate 1</c:v>
                </c:pt>
                <c:pt idx="1">
                  <c:v>Toimija 2 vaate 2</c:v>
                </c:pt>
                <c:pt idx="2">
                  <c:v>Toimija 2 vaate 3</c:v>
                </c:pt>
                <c:pt idx="3">
                  <c:v>Toimija 2 vaate 4</c:v>
                </c:pt>
                <c:pt idx="4">
                  <c:v>Toimija 2 vaate 5</c:v>
                </c:pt>
              </c:strCache>
            </c:strRef>
          </c:cat>
          <c:val>
            <c:numRef>
              <c:f>'Yhteenveto raportointiin'!$B$45:$B$49</c:f>
              <c:numCache>
                <c:formatCode>#\ ##0.00\ [$€-1]</c:formatCode>
                <c:ptCount val="5"/>
                <c:pt idx="0">
                  <c:v>9.8946986201888139E-3</c:v>
                </c:pt>
                <c:pt idx="1">
                  <c:v>1.6491164366981359E-3</c:v>
                </c:pt>
                <c:pt idx="2">
                  <c:v>3.2982328733962719E-3</c:v>
                </c:pt>
                <c:pt idx="3">
                  <c:v>1.3192931493585087E-2</c:v>
                </c:pt>
                <c:pt idx="4">
                  <c:v>1.3192931493585087E-2</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0-0DA3-4E13-B598-502C56DA4462}"/>
            </c:ext>
          </c:extLst>
        </c:ser>
        <c:ser>
          <c:idx val="1"/>
          <c:order val="1"/>
          <c:tx>
            <c:strRef>
              <c:f>'Yhteenveto raportointiin'!$C$44</c:f>
              <c:strCache>
                <c:ptCount val="1"/>
                <c:pt idx="0">
                  <c:v>Pesukoneen hinta / pesu</c:v>
                </c:pt>
              </c:strCache>
            </c:strRef>
          </c:tx>
          <c:spPr>
            <a:solidFill>
              <a:srgbClr val="EA4335"/>
            </a:solidFill>
          </c:spPr>
          <c:invertIfNegative val="1"/>
          <c:cat>
            <c:strRef>
              <c:f>'Yhteenveto raportointiin'!$A$45:$A$49</c:f>
              <c:strCache>
                <c:ptCount val="5"/>
                <c:pt idx="0">
                  <c:v>Toimija 2 vaate 1</c:v>
                </c:pt>
                <c:pt idx="1">
                  <c:v>Toimija 2 vaate 2</c:v>
                </c:pt>
                <c:pt idx="2">
                  <c:v>Toimija 2 vaate 3</c:v>
                </c:pt>
                <c:pt idx="3">
                  <c:v>Toimija 2 vaate 4</c:v>
                </c:pt>
                <c:pt idx="4">
                  <c:v>Toimija 2 vaate 5</c:v>
                </c:pt>
              </c:strCache>
            </c:strRef>
          </c:cat>
          <c:val>
            <c:numRef>
              <c:f>'Yhteenveto raportointiin'!$C$45:$C$49</c:f>
              <c:numCache>
                <c:formatCode>#\ ##0.00\ [$€-1]</c:formatCode>
                <c:ptCount val="5"/>
                <c:pt idx="0">
                  <c:v>3.2404735799334443E-2</c:v>
                </c:pt>
                <c:pt idx="1">
                  <c:v>3.2404735799334443E-2</c:v>
                </c:pt>
                <c:pt idx="2">
                  <c:v>3.2404735799334443E-2</c:v>
                </c:pt>
                <c:pt idx="3">
                  <c:v>3.2404735799334443E-2</c:v>
                </c:pt>
                <c:pt idx="4">
                  <c:v>3.2404735799334443E-2</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1-0DA3-4E13-B598-502C56DA4462}"/>
            </c:ext>
          </c:extLst>
        </c:ser>
        <c:ser>
          <c:idx val="2"/>
          <c:order val="2"/>
          <c:tx>
            <c:strRef>
              <c:f>'Yhteenveto raportointiin'!$D$44</c:f>
              <c:strCache>
                <c:ptCount val="1"/>
                <c:pt idx="0">
                  <c:v>Pesukoneen sähkö / pesu</c:v>
                </c:pt>
              </c:strCache>
            </c:strRef>
          </c:tx>
          <c:spPr>
            <a:solidFill>
              <a:srgbClr val="FBBC04"/>
            </a:solidFill>
          </c:spPr>
          <c:invertIfNegative val="1"/>
          <c:cat>
            <c:strRef>
              <c:f>'Yhteenveto raportointiin'!$A$45:$A$49</c:f>
              <c:strCache>
                <c:ptCount val="5"/>
                <c:pt idx="0">
                  <c:v>Toimija 2 vaate 1</c:v>
                </c:pt>
                <c:pt idx="1">
                  <c:v>Toimija 2 vaate 2</c:v>
                </c:pt>
                <c:pt idx="2">
                  <c:v>Toimija 2 vaate 3</c:v>
                </c:pt>
                <c:pt idx="3">
                  <c:v>Toimija 2 vaate 4</c:v>
                </c:pt>
                <c:pt idx="4">
                  <c:v>Toimija 2 vaate 5</c:v>
                </c:pt>
              </c:strCache>
            </c:strRef>
          </c:cat>
          <c:val>
            <c:numRef>
              <c:f>'Yhteenveto raportointiin'!$D$45:$D$49</c:f>
              <c:numCache>
                <c:formatCode>#\ ##0.00\ [$€-1]</c:formatCode>
                <c:ptCount val="5"/>
                <c:pt idx="0">
                  <c:v>6.9071891774891781E-3</c:v>
                </c:pt>
                <c:pt idx="1">
                  <c:v>6.9071891774891781E-3</c:v>
                </c:pt>
                <c:pt idx="2">
                  <c:v>6.9071891774891781E-3</c:v>
                </c:pt>
                <c:pt idx="3">
                  <c:v>6.9071891774891781E-3</c:v>
                </c:pt>
                <c:pt idx="4">
                  <c:v>6.9071891774891781E-3</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2-0DA3-4E13-B598-502C56DA4462}"/>
            </c:ext>
          </c:extLst>
        </c:ser>
        <c:ser>
          <c:idx val="3"/>
          <c:order val="3"/>
          <c:tx>
            <c:strRef>
              <c:f>'Yhteenveto raportointiin'!$E$44</c:f>
              <c:strCache>
                <c:ptCount val="1"/>
                <c:pt idx="0">
                  <c:v>Pesuveden käyttömaksu</c:v>
                </c:pt>
              </c:strCache>
            </c:strRef>
          </c:tx>
          <c:spPr>
            <a:solidFill>
              <a:srgbClr val="34A853"/>
            </a:solidFill>
          </c:spPr>
          <c:invertIfNegative val="1"/>
          <c:cat>
            <c:strRef>
              <c:f>'Yhteenveto raportointiin'!$A$45:$A$49</c:f>
              <c:strCache>
                <c:ptCount val="5"/>
                <c:pt idx="0">
                  <c:v>Toimija 2 vaate 1</c:v>
                </c:pt>
                <c:pt idx="1">
                  <c:v>Toimija 2 vaate 2</c:v>
                </c:pt>
                <c:pt idx="2">
                  <c:v>Toimija 2 vaate 3</c:v>
                </c:pt>
                <c:pt idx="3">
                  <c:v>Toimija 2 vaate 4</c:v>
                </c:pt>
                <c:pt idx="4">
                  <c:v>Toimija 2 vaate 5</c:v>
                </c:pt>
              </c:strCache>
            </c:strRef>
          </c:cat>
          <c:val>
            <c:numRef>
              <c:f>'Yhteenveto raportointiin'!$E$45:$E$49</c:f>
              <c:numCache>
                <c:formatCode>#\ ##0.00\ [$€-1]</c:formatCode>
                <c:ptCount val="5"/>
                <c:pt idx="0">
                  <c:v>8.8267683333333336E-3</c:v>
                </c:pt>
                <c:pt idx="1">
                  <c:v>8.8267683333333336E-3</c:v>
                </c:pt>
                <c:pt idx="2">
                  <c:v>8.8267683333333336E-3</c:v>
                </c:pt>
                <c:pt idx="3">
                  <c:v>8.8267683333333336E-3</c:v>
                </c:pt>
                <c:pt idx="4">
                  <c:v>8.8267683333333336E-3</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3-0DA3-4E13-B598-502C56DA4462}"/>
            </c:ext>
          </c:extLst>
        </c:ser>
        <c:ser>
          <c:idx val="4"/>
          <c:order val="4"/>
          <c:tx>
            <c:strRef>
              <c:f>'Yhteenveto raportointiin'!$F$44</c:f>
              <c:strCache>
                <c:ptCount val="1"/>
                <c:pt idx="0">
                  <c:v>Jäteveden käyttömaksu</c:v>
                </c:pt>
              </c:strCache>
            </c:strRef>
          </c:tx>
          <c:spPr>
            <a:solidFill>
              <a:srgbClr val="FF6D01"/>
            </a:solidFill>
          </c:spPr>
          <c:invertIfNegative val="1"/>
          <c:cat>
            <c:strRef>
              <c:f>'Yhteenveto raportointiin'!$A$45:$A$49</c:f>
              <c:strCache>
                <c:ptCount val="5"/>
                <c:pt idx="0">
                  <c:v>Toimija 2 vaate 1</c:v>
                </c:pt>
                <c:pt idx="1">
                  <c:v>Toimija 2 vaate 2</c:v>
                </c:pt>
                <c:pt idx="2">
                  <c:v>Toimija 2 vaate 3</c:v>
                </c:pt>
                <c:pt idx="3">
                  <c:v>Toimija 2 vaate 4</c:v>
                </c:pt>
                <c:pt idx="4">
                  <c:v>Toimija 2 vaate 5</c:v>
                </c:pt>
              </c:strCache>
            </c:strRef>
          </c:cat>
          <c:val>
            <c:numRef>
              <c:f>'Yhteenveto raportointiin'!$F$45:$F$49</c:f>
              <c:numCache>
                <c:formatCode>#\ ##0.00\ [$€-1]</c:formatCode>
                <c:ptCount val="5"/>
                <c:pt idx="0">
                  <c:v>1.0458607857142857E-2</c:v>
                </c:pt>
                <c:pt idx="1">
                  <c:v>1.0458607857142857E-2</c:v>
                </c:pt>
                <c:pt idx="2">
                  <c:v>1.0458607857142857E-2</c:v>
                </c:pt>
                <c:pt idx="3">
                  <c:v>1.0458607857142857E-2</c:v>
                </c:pt>
                <c:pt idx="4">
                  <c:v>1.0458607857142857E-2</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4-0DA3-4E13-B598-502C56DA4462}"/>
            </c:ext>
          </c:extLst>
        </c:ser>
        <c:ser>
          <c:idx val="5"/>
          <c:order val="5"/>
          <c:tx>
            <c:strRef>
              <c:f>'Yhteenveto raportointiin'!$G$44</c:f>
              <c:strCache>
                <c:ptCount val="1"/>
                <c:pt idx="0">
                  <c:v>Veden perusmaksu</c:v>
                </c:pt>
              </c:strCache>
            </c:strRef>
          </c:tx>
          <c:spPr>
            <a:solidFill>
              <a:srgbClr val="46BDC6"/>
            </a:solidFill>
          </c:spPr>
          <c:invertIfNegative val="1"/>
          <c:cat>
            <c:strRef>
              <c:f>'Yhteenveto raportointiin'!$A$45:$A$49</c:f>
              <c:strCache>
                <c:ptCount val="5"/>
                <c:pt idx="0">
                  <c:v>Toimija 2 vaate 1</c:v>
                </c:pt>
                <c:pt idx="1">
                  <c:v>Toimija 2 vaate 2</c:v>
                </c:pt>
                <c:pt idx="2">
                  <c:v>Toimija 2 vaate 3</c:v>
                </c:pt>
                <c:pt idx="3">
                  <c:v>Toimija 2 vaate 4</c:v>
                </c:pt>
                <c:pt idx="4">
                  <c:v>Toimija 2 vaate 5</c:v>
                </c:pt>
              </c:strCache>
            </c:strRef>
          </c:cat>
          <c:val>
            <c:numRef>
              <c:f>'Yhteenveto raportointiin'!$G$45:$G$49</c:f>
              <c:numCache>
                <c:formatCode>#\ ##0.00\ [$€-1]</c:formatCode>
                <c:ptCount val="5"/>
                <c:pt idx="0">
                  <c:v>7.4174523809523811E-4</c:v>
                </c:pt>
                <c:pt idx="1">
                  <c:v>7.4174523809523811E-4</c:v>
                </c:pt>
                <c:pt idx="2">
                  <c:v>7.4174523809523811E-4</c:v>
                </c:pt>
                <c:pt idx="3">
                  <c:v>7.4174523809523811E-4</c:v>
                </c:pt>
                <c:pt idx="4">
                  <c:v>7.4174523809523811E-4</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5-0DA3-4E13-B598-502C56DA4462}"/>
            </c:ext>
          </c:extLst>
        </c:ser>
        <c:ser>
          <c:idx val="6"/>
          <c:order val="6"/>
          <c:tx>
            <c:strRef>
              <c:f>'Yhteenveto raportointiin'!$H$44</c:f>
              <c:strCache>
                <c:ptCount val="1"/>
              </c:strCache>
            </c:strRef>
          </c:tx>
          <c:spPr>
            <a:solidFill>
              <a:srgbClr val="D3E2FC"/>
            </a:solidFill>
          </c:spPr>
          <c:invertIfNegative val="1"/>
          <c:cat>
            <c:strRef>
              <c:f>'Yhteenveto raportointiin'!$A$45:$A$49</c:f>
              <c:strCache>
                <c:ptCount val="5"/>
                <c:pt idx="0">
                  <c:v>Toimija 2 vaate 1</c:v>
                </c:pt>
                <c:pt idx="1">
                  <c:v>Toimija 2 vaate 2</c:v>
                </c:pt>
                <c:pt idx="2">
                  <c:v>Toimija 2 vaate 3</c:v>
                </c:pt>
                <c:pt idx="3">
                  <c:v>Toimija 2 vaate 4</c:v>
                </c:pt>
                <c:pt idx="4">
                  <c:v>Toimija 2 vaate 5</c:v>
                </c:pt>
              </c:strCache>
            </c:strRef>
          </c:cat>
          <c:val>
            <c:numRef>
              <c:f>'Yhteenveto raportointiin'!$H$45:$H$49</c:f>
              <c:numCache>
                <c:formatCode>#\ ##0.00\ [$€-1]</c:formatCode>
                <c:ptCount val="5"/>
                <c:pt idx="0">
                  <c:v>0</c:v>
                </c:pt>
                <c:pt idx="1">
                  <c:v>0</c:v>
                </c:pt>
                <c:pt idx="2">
                  <c:v>0</c:v>
                </c:pt>
                <c:pt idx="3">
                  <c:v>0</c:v>
                </c:pt>
                <c:pt idx="4">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6-0DA3-4E13-B598-502C56DA4462}"/>
            </c:ext>
          </c:extLst>
        </c:ser>
        <c:ser>
          <c:idx val="7"/>
          <c:order val="7"/>
          <c:tx>
            <c:strRef>
              <c:f>'Yhteenveto raportointiin'!$I$44</c:f>
              <c:strCache>
                <c:ptCount val="1"/>
              </c:strCache>
            </c:strRef>
          </c:tx>
          <c:spPr>
            <a:solidFill>
              <a:srgbClr val="F8C4C0"/>
            </a:solidFill>
          </c:spPr>
          <c:invertIfNegative val="1"/>
          <c:cat>
            <c:strRef>
              <c:f>'Yhteenveto raportointiin'!$A$45:$A$49</c:f>
              <c:strCache>
                <c:ptCount val="5"/>
                <c:pt idx="0">
                  <c:v>Toimija 2 vaate 1</c:v>
                </c:pt>
                <c:pt idx="1">
                  <c:v>Toimija 2 vaate 2</c:v>
                </c:pt>
                <c:pt idx="2">
                  <c:v>Toimija 2 vaate 3</c:v>
                </c:pt>
                <c:pt idx="3">
                  <c:v>Toimija 2 vaate 4</c:v>
                </c:pt>
                <c:pt idx="4">
                  <c:v>Toimija 2 vaate 5</c:v>
                </c:pt>
              </c:strCache>
            </c:strRef>
          </c:cat>
          <c:val>
            <c:numRef>
              <c:f>'Yhteenveto raportointiin'!$I$45:$I$49</c:f>
              <c:numCache>
                <c:formatCode>#\ ##0.00\ [$€-1]</c:formatCode>
                <c:ptCount val="5"/>
                <c:pt idx="0">
                  <c:v>0</c:v>
                </c:pt>
                <c:pt idx="1">
                  <c:v>0</c:v>
                </c:pt>
                <c:pt idx="2">
                  <c:v>0</c:v>
                </c:pt>
                <c:pt idx="3">
                  <c:v>0</c:v>
                </c:pt>
                <c:pt idx="4">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7-0DA3-4E13-B598-502C56DA4462}"/>
            </c:ext>
          </c:extLst>
        </c:ser>
        <c:ser>
          <c:idx val="8"/>
          <c:order val="8"/>
          <c:tx>
            <c:strRef>
              <c:f>'Yhteenveto raportointiin'!$J$44</c:f>
              <c:strCache>
                <c:ptCount val="1"/>
                <c:pt idx="0">
                  <c:v>Kuivauskaapin hinta / pesu</c:v>
                </c:pt>
              </c:strCache>
            </c:strRef>
          </c:tx>
          <c:spPr>
            <a:solidFill>
              <a:srgbClr val="FDE49B"/>
            </a:solidFill>
          </c:spPr>
          <c:invertIfNegative val="1"/>
          <c:cat>
            <c:strRef>
              <c:f>'Yhteenveto raportointiin'!$A$45:$A$49</c:f>
              <c:strCache>
                <c:ptCount val="5"/>
                <c:pt idx="0">
                  <c:v>Toimija 2 vaate 1</c:v>
                </c:pt>
                <c:pt idx="1">
                  <c:v>Toimija 2 vaate 2</c:v>
                </c:pt>
                <c:pt idx="2">
                  <c:v>Toimija 2 vaate 3</c:v>
                </c:pt>
                <c:pt idx="3">
                  <c:v>Toimija 2 vaate 4</c:v>
                </c:pt>
                <c:pt idx="4">
                  <c:v>Toimija 2 vaate 5</c:v>
                </c:pt>
              </c:strCache>
            </c:strRef>
          </c:cat>
          <c:val>
            <c:numRef>
              <c:f>'Yhteenveto raportointiin'!$J$45:$J$49</c:f>
              <c:numCache>
                <c:formatCode>#\ ##0.00\ [$€-1]</c:formatCode>
                <c:ptCount val="5"/>
                <c:pt idx="0">
                  <c:v>0.10634068773603655</c:v>
                </c:pt>
                <c:pt idx="1">
                  <c:v>0.10634068773603655</c:v>
                </c:pt>
                <c:pt idx="2">
                  <c:v>0.10634068773603655</c:v>
                </c:pt>
                <c:pt idx="3">
                  <c:v>0.10634068773603655</c:v>
                </c:pt>
                <c:pt idx="4">
                  <c:v>0.10634068773603655</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8-0DA3-4E13-B598-502C56DA4462}"/>
            </c:ext>
          </c:extLst>
        </c:ser>
        <c:ser>
          <c:idx val="9"/>
          <c:order val="9"/>
          <c:tx>
            <c:strRef>
              <c:f>'Yhteenveto raportointiin'!$K$44</c:f>
              <c:strCache>
                <c:ptCount val="1"/>
                <c:pt idx="0">
                  <c:v>Kuivauskaapin sähkö</c:v>
                </c:pt>
              </c:strCache>
            </c:strRef>
          </c:tx>
          <c:spPr>
            <a:solidFill>
              <a:srgbClr val="96DFAA"/>
            </a:solidFill>
          </c:spPr>
          <c:invertIfNegative val="1"/>
          <c:cat>
            <c:strRef>
              <c:f>'Yhteenveto raportointiin'!$A$45:$A$49</c:f>
              <c:strCache>
                <c:ptCount val="5"/>
                <c:pt idx="0">
                  <c:v>Toimija 2 vaate 1</c:v>
                </c:pt>
                <c:pt idx="1">
                  <c:v>Toimija 2 vaate 2</c:v>
                </c:pt>
                <c:pt idx="2">
                  <c:v>Toimija 2 vaate 3</c:v>
                </c:pt>
                <c:pt idx="3">
                  <c:v>Toimija 2 vaate 4</c:v>
                </c:pt>
                <c:pt idx="4">
                  <c:v>Toimija 2 vaate 5</c:v>
                </c:pt>
              </c:strCache>
            </c:strRef>
          </c:cat>
          <c:val>
            <c:numRef>
              <c:f>'Yhteenveto raportointiin'!$K$45:$K$49</c:f>
              <c:numCache>
                <c:formatCode>#\ ##0.00\ [$€-1]</c:formatCode>
                <c:ptCount val="5"/>
                <c:pt idx="0">
                  <c:v>4.4931999999999993E-2</c:v>
                </c:pt>
                <c:pt idx="1">
                  <c:v>4.4931999999999993E-2</c:v>
                </c:pt>
                <c:pt idx="2">
                  <c:v>4.4931999999999993E-2</c:v>
                </c:pt>
                <c:pt idx="3">
                  <c:v>4.4931999999999993E-2</c:v>
                </c:pt>
                <c:pt idx="4">
                  <c:v>4.4931999999999993E-2</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9-0DA3-4E13-B598-502C56DA4462}"/>
            </c:ext>
          </c:extLst>
        </c:ser>
        <c:ser>
          <c:idx val="10"/>
          <c:order val="10"/>
          <c:tx>
            <c:strRef>
              <c:f>'Yhteenveto raportointiin'!$L$44</c:f>
              <c:strCache>
                <c:ptCount val="1"/>
                <c:pt idx="0">
                  <c:v>Pesuaineen hinta</c:v>
                </c:pt>
              </c:strCache>
            </c:strRef>
          </c:tx>
          <c:spPr>
            <a:solidFill>
              <a:srgbClr val="FFC59A"/>
            </a:solidFill>
          </c:spPr>
          <c:invertIfNegative val="1"/>
          <c:cat>
            <c:strRef>
              <c:f>'Yhteenveto raportointiin'!$A$45:$A$49</c:f>
              <c:strCache>
                <c:ptCount val="5"/>
                <c:pt idx="0">
                  <c:v>Toimija 2 vaate 1</c:v>
                </c:pt>
                <c:pt idx="1">
                  <c:v>Toimija 2 vaate 2</c:v>
                </c:pt>
                <c:pt idx="2">
                  <c:v>Toimija 2 vaate 3</c:v>
                </c:pt>
                <c:pt idx="3">
                  <c:v>Toimija 2 vaate 4</c:v>
                </c:pt>
                <c:pt idx="4">
                  <c:v>Toimija 2 vaate 5</c:v>
                </c:pt>
              </c:strCache>
            </c:strRef>
          </c:cat>
          <c:val>
            <c:numRef>
              <c:f>'Yhteenveto raportointiin'!$L$45:$L$49</c:f>
              <c:numCache>
                <c:formatCode>#\ ##0.00\ [$€-1]</c:formatCode>
                <c:ptCount val="5"/>
                <c:pt idx="0">
                  <c:v>3.8999999999999998E-3</c:v>
                </c:pt>
                <c:pt idx="1">
                  <c:v>3.8999999999999998E-3</c:v>
                </c:pt>
                <c:pt idx="2">
                  <c:v>3.8999999999999998E-3</c:v>
                </c:pt>
                <c:pt idx="3">
                  <c:v>3.8999999999999998E-3</c:v>
                </c:pt>
                <c:pt idx="4">
                  <c:v>3.8999999999999998E-3</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A-0DA3-4E13-B598-502C56DA4462}"/>
            </c:ext>
          </c:extLst>
        </c:ser>
        <c:ser>
          <c:idx val="11"/>
          <c:order val="11"/>
          <c:tx>
            <c:strRef>
              <c:f>'Yhteenveto raportointiin'!$M$44</c:f>
              <c:strCache>
                <c:ptCount val="1"/>
                <c:pt idx="0">
                  <c:v>Pesuun ja kuivaukseen menevän työn hinta</c:v>
                </c:pt>
              </c:strCache>
            </c:strRef>
          </c:tx>
          <c:spPr>
            <a:solidFill>
              <a:srgbClr val="BBE7EA"/>
            </a:solidFill>
          </c:spPr>
          <c:invertIfNegative val="1"/>
          <c:cat>
            <c:strRef>
              <c:f>'Yhteenveto raportointiin'!$A$45:$A$49</c:f>
              <c:strCache>
                <c:ptCount val="5"/>
                <c:pt idx="0">
                  <c:v>Toimija 2 vaate 1</c:v>
                </c:pt>
                <c:pt idx="1">
                  <c:v>Toimija 2 vaate 2</c:v>
                </c:pt>
                <c:pt idx="2">
                  <c:v>Toimija 2 vaate 3</c:v>
                </c:pt>
                <c:pt idx="3">
                  <c:v>Toimija 2 vaate 4</c:v>
                </c:pt>
                <c:pt idx="4">
                  <c:v>Toimija 2 vaate 5</c:v>
                </c:pt>
              </c:strCache>
            </c:strRef>
          </c:cat>
          <c:val>
            <c:numRef>
              <c:f>'Yhteenveto raportointiin'!$M$45:$M$49</c:f>
              <c:numCache>
                <c:formatCode>#\ ##0.00\ [$€-1]</c:formatCode>
                <c:ptCount val="5"/>
                <c:pt idx="0">
                  <c:v>0.55604838709677418</c:v>
                </c:pt>
                <c:pt idx="1">
                  <c:v>0.55604838709677418</c:v>
                </c:pt>
                <c:pt idx="2">
                  <c:v>0.55604838709677418</c:v>
                </c:pt>
                <c:pt idx="3">
                  <c:v>0.55604838709677418</c:v>
                </c:pt>
                <c:pt idx="4">
                  <c:v>0.55604838709677418</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B-0DA3-4E13-B598-502C56DA4462}"/>
            </c:ext>
          </c:extLst>
        </c:ser>
        <c:ser>
          <c:idx val="12"/>
          <c:order val="12"/>
          <c:tx>
            <c:strRef>
              <c:f>'Yhteenveto raportointiin'!$N$44</c:f>
              <c:strCache>
                <c:ptCount val="1"/>
              </c:strCache>
            </c:strRef>
          </c:tx>
          <c:invertIfNegative val="1"/>
          <c:cat>
            <c:strRef>
              <c:f>'Yhteenveto raportointiin'!$A$45:$A$49</c:f>
              <c:strCache>
                <c:ptCount val="5"/>
                <c:pt idx="0">
                  <c:v>Toimija 2 vaate 1</c:v>
                </c:pt>
                <c:pt idx="1">
                  <c:v>Toimija 2 vaate 2</c:v>
                </c:pt>
                <c:pt idx="2">
                  <c:v>Toimija 2 vaate 3</c:v>
                </c:pt>
                <c:pt idx="3">
                  <c:v>Toimija 2 vaate 4</c:v>
                </c:pt>
                <c:pt idx="4">
                  <c:v>Toimija 2 vaate 5</c:v>
                </c:pt>
              </c:strCache>
            </c:strRef>
          </c:cat>
          <c:val>
            <c:numRef>
              <c:f>'Yhteenveto raportointiin'!$N$45:$N$49</c:f>
              <c:numCache>
                <c:formatCode>#\ ##0.00\ [$€-1]</c:formatCode>
                <c:ptCount val="5"/>
                <c:pt idx="0">
                  <c:v>0</c:v>
                </c:pt>
                <c:pt idx="1">
                  <c:v>0</c:v>
                </c:pt>
                <c:pt idx="2">
                  <c:v>0</c:v>
                </c:pt>
                <c:pt idx="3">
                  <c:v>0</c:v>
                </c:pt>
                <c:pt idx="4">
                  <c:v>0</c:v>
                </c:pt>
              </c:numCache>
            </c:numRef>
          </c:val>
          <c:extLst>
            <c:ext xmlns:c16="http://schemas.microsoft.com/office/drawing/2014/chart" uri="{C3380CC4-5D6E-409C-BE32-E72D297353CC}">
              <c16:uniqueId val="{0000000C-0DA3-4E13-B598-502C56DA4462}"/>
            </c:ext>
          </c:extLst>
        </c:ser>
        <c:ser>
          <c:idx val="13"/>
          <c:order val="13"/>
          <c:tx>
            <c:strRef>
              <c:f>'Yhteenveto raportointiin'!$O$44</c:f>
              <c:strCache>
                <c:ptCount val="1"/>
                <c:pt idx="0">
                  <c:v>Epäoptimaalisen pesun kustannus</c:v>
                </c:pt>
              </c:strCache>
            </c:strRef>
          </c:tx>
          <c:invertIfNegative val="1"/>
          <c:cat>
            <c:strRef>
              <c:f>'Yhteenveto raportointiin'!$A$45:$A$49</c:f>
              <c:strCache>
                <c:ptCount val="5"/>
                <c:pt idx="0">
                  <c:v>Toimija 2 vaate 1</c:v>
                </c:pt>
                <c:pt idx="1">
                  <c:v>Toimija 2 vaate 2</c:v>
                </c:pt>
                <c:pt idx="2">
                  <c:v>Toimija 2 vaate 3</c:v>
                </c:pt>
                <c:pt idx="3">
                  <c:v>Toimija 2 vaate 4</c:v>
                </c:pt>
                <c:pt idx="4">
                  <c:v>Toimija 2 vaate 5</c:v>
                </c:pt>
              </c:strCache>
            </c:strRef>
          </c:cat>
          <c:val>
            <c:numRef>
              <c:f>'Yhteenveto raportointiin'!$O$45:$O$49</c:f>
              <c:numCache>
                <c:formatCode>#\ ##0.00\ [$€-1]</c:formatCode>
                <c:ptCount val="5"/>
                <c:pt idx="0">
                  <c:v>0.60848024432467984</c:v>
                </c:pt>
                <c:pt idx="1">
                  <c:v>0.60848024432467995</c:v>
                </c:pt>
                <c:pt idx="2">
                  <c:v>0.60848024432467995</c:v>
                </c:pt>
                <c:pt idx="3">
                  <c:v>0.60848024432467995</c:v>
                </c:pt>
                <c:pt idx="4">
                  <c:v>0.60848024432467995</c:v>
                </c:pt>
              </c:numCache>
            </c:numRef>
          </c:val>
          <c:extLst>
            <c:ext xmlns:c16="http://schemas.microsoft.com/office/drawing/2014/chart" uri="{C3380CC4-5D6E-409C-BE32-E72D297353CC}">
              <c16:uniqueId val="{0000000D-0DA3-4E13-B598-502C56DA4462}"/>
            </c:ext>
          </c:extLst>
        </c:ser>
        <c:dLbls>
          <c:showLegendKey val="0"/>
          <c:showVal val="0"/>
          <c:showCatName val="0"/>
          <c:showSerName val="0"/>
          <c:showPercent val="0"/>
          <c:showBubbleSize val="0"/>
        </c:dLbls>
        <c:gapWidth val="150"/>
        <c:overlap val="100"/>
        <c:axId val="812203223"/>
        <c:axId val="1497836888"/>
      </c:barChart>
      <c:catAx>
        <c:axId val="812203223"/>
        <c:scaling>
          <c:orientation val="minMax"/>
        </c:scaling>
        <c:delete val="0"/>
        <c:axPos val="b"/>
        <c:title>
          <c:tx>
            <c:rich>
              <a:bodyPr/>
              <a:lstStyle/>
              <a:p>
                <a:pPr lvl="0">
                  <a:defRPr b="0">
                    <a:solidFill>
                      <a:srgbClr val="000000"/>
                    </a:solidFill>
                    <a:latin typeface="+mn-lt"/>
                  </a:defRPr>
                </a:pPr>
                <a:endParaRPr lang="fi-FI"/>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fi-FI"/>
          </a:p>
        </c:txPr>
        <c:crossAx val="1497836888"/>
        <c:crosses val="autoZero"/>
        <c:auto val="1"/>
        <c:lblAlgn val="ctr"/>
        <c:lblOffset val="100"/>
        <c:noMultiLvlLbl val="1"/>
      </c:catAx>
      <c:valAx>
        <c:axId val="1497836888"/>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fi-FI"/>
              </a:p>
            </c:rich>
          </c:tx>
          <c:overlay val="0"/>
        </c:title>
        <c:numFmt formatCode="#,##0.00\ [$€-1]" sourceLinked="0"/>
        <c:majorTickMark val="none"/>
        <c:minorTickMark val="none"/>
        <c:tickLblPos val="nextTo"/>
        <c:spPr>
          <a:ln>
            <a:solidFill/>
          </a:ln>
        </c:spPr>
        <c:txPr>
          <a:bodyPr/>
          <a:lstStyle/>
          <a:p>
            <a:pPr lvl="0">
              <a:defRPr b="0">
                <a:solidFill>
                  <a:srgbClr val="000000"/>
                </a:solidFill>
                <a:latin typeface="+mn-lt"/>
              </a:defRPr>
            </a:pPr>
            <a:endParaRPr lang="fi-FI"/>
          </a:p>
        </c:txPr>
        <c:crossAx val="812203223"/>
        <c:crosses val="autoZero"/>
        <c:crossBetween val="between"/>
      </c:valAx>
    </c:plotArea>
    <c:legend>
      <c:legendPos val="r"/>
      <c:overlay val="0"/>
      <c:txPr>
        <a:bodyPr/>
        <a:lstStyle/>
        <a:p>
          <a:pPr lvl="0">
            <a:defRPr b="0">
              <a:solidFill>
                <a:srgbClr val="1A1A1A"/>
              </a:solidFill>
              <a:latin typeface="+mn-lt"/>
            </a:defRPr>
          </a:pPr>
          <a:endParaRPr lang="fi-FI"/>
        </a:p>
      </c:txPr>
    </c:legend>
    <c:plotVisOnly val="1"/>
    <c:dispBlanksAs val="zero"/>
    <c:showDLblsOverMax val="1"/>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1"/>
  <c:style val="2"/>
  <c:chart>
    <c:autoTitleDeleted val="1"/>
    <c:plotArea>
      <c:layout/>
      <c:barChart>
        <c:barDir val="col"/>
        <c:grouping val="stacked"/>
        <c:varyColors val="1"/>
        <c:ser>
          <c:idx val="0"/>
          <c:order val="0"/>
          <c:tx>
            <c:strRef>
              <c:f>'Yhteenveto raportointiin'!$B$50</c:f>
              <c:strCache>
                <c:ptCount val="1"/>
                <c:pt idx="0">
                  <c:v>Hankintahinta / pesuväli</c:v>
                </c:pt>
              </c:strCache>
            </c:strRef>
          </c:tx>
          <c:spPr>
            <a:solidFill>
              <a:srgbClr val="4285F4"/>
            </a:solidFill>
          </c:spPr>
          <c:invertIfNegative val="1"/>
          <c:cat>
            <c:strRef>
              <c:f>'Yhteenveto raportointiin'!$A$51:$A$54</c:f>
              <c:strCache>
                <c:ptCount val="4"/>
                <c:pt idx="0">
                  <c:v>Toimija 3 vaate 1</c:v>
                </c:pt>
                <c:pt idx="1">
                  <c:v>Toimija 3 vaate 2</c:v>
                </c:pt>
                <c:pt idx="2">
                  <c:v>Toimija 3 vaate 3</c:v>
                </c:pt>
                <c:pt idx="3">
                  <c:v>Toimija 3 vaate 4</c:v>
                </c:pt>
              </c:strCache>
            </c:strRef>
          </c:cat>
          <c:val>
            <c:numRef>
              <c:f>'Yhteenveto raportointiin'!$B$51:$B$54</c:f>
              <c:numCache>
                <c:formatCode>#\ ##0.00\ [$€-1]</c:formatCode>
                <c:ptCount val="4"/>
                <c:pt idx="0">
                  <c:v>1.5831517792302106E-2</c:v>
                </c:pt>
                <c:pt idx="1">
                  <c:v>1.5831517792302106E-2</c:v>
                </c:pt>
                <c:pt idx="2">
                  <c:v>1.5831517792302106E-2</c:v>
                </c:pt>
                <c:pt idx="3">
                  <c:v>1.5831517792302106E-2</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0-1262-43DB-B9B6-BCCA48113E6A}"/>
            </c:ext>
          </c:extLst>
        </c:ser>
        <c:ser>
          <c:idx val="1"/>
          <c:order val="1"/>
          <c:tx>
            <c:strRef>
              <c:f>'Yhteenveto raportointiin'!$C$50</c:f>
              <c:strCache>
                <c:ptCount val="1"/>
                <c:pt idx="0">
                  <c:v>Pesukoneen hinta / pesu</c:v>
                </c:pt>
              </c:strCache>
            </c:strRef>
          </c:tx>
          <c:spPr>
            <a:solidFill>
              <a:srgbClr val="EA4335"/>
            </a:solidFill>
          </c:spPr>
          <c:invertIfNegative val="1"/>
          <c:cat>
            <c:strRef>
              <c:f>'Yhteenveto raportointiin'!$A$51:$A$54</c:f>
              <c:strCache>
                <c:ptCount val="4"/>
                <c:pt idx="0">
                  <c:v>Toimija 3 vaate 1</c:v>
                </c:pt>
                <c:pt idx="1">
                  <c:v>Toimija 3 vaate 2</c:v>
                </c:pt>
                <c:pt idx="2">
                  <c:v>Toimija 3 vaate 3</c:v>
                </c:pt>
                <c:pt idx="3">
                  <c:v>Toimija 3 vaate 4</c:v>
                </c:pt>
              </c:strCache>
            </c:strRef>
          </c:cat>
          <c:val>
            <c:numRef>
              <c:f>'Yhteenveto raportointiin'!$C$51:$C$54</c:f>
              <c:numCache>
                <c:formatCode>#\ ##0.00\ [$€-1]</c:formatCode>
                <c:ptCount val="4"/>
                <c:pt idx="0">
                  <c:v>3.2404735799334443E-2</c:v>
                </c:pt>
                <c:pt idx="1">
                  <c:v>3.2404735799334443E-2</c:v>
                </c:pt>
                <c:pt idx="2">
                  <c:v>3.2404735799334443E-2</c:v>
                </c:pt>
                <c:pt idx="3">
                  <c:v>3.2404735799334443E-2</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1-1262-43DB-B9B6-BCCA48113E6A}"/>
            </c:ext>
          </c:extLst>
        </c:ser>
        <c:ser>
          <c:idx val="2"/>
          <c:order val="2"/>
          <c:tx>
            <c:strRef>
              <c:f>'Yhteenveto raportointiin'!$D$50</c:f>
              <c:strCache>
                <c:ptCount val="1"/>
                <c:pt idx="0">
                  <c:v>Pesukoneen sähkö / pesu</c:v>
                </c:pt>
              </c:strCache>
            </c:strRef>
          </c:tx>
          <c:spPr>
            <a:solidFill>
              <a:srgbClr val="FBBC04"/>
            </a:solidFill>
          </c:spPr>
          <c:invertIfNegative val="1"/>
          <c:cat>
            <c:strRef>
              <c:f>'Yhteenveto raportointiin'!$A$51:$A$54</c:f>
              <c:strCache>
                <c:ptCount val="4"/>
                <c:pt idx="0">
                  <c:v>Toimija 3 vaate 1</c:v>
                </c:pt>
                <c:pt idx="1">
                  <c:v>Toimija 3 vaate 2</c:v>
                </c:pt>
                <c:pt idx="2">
                  <c:v>Toimija 3 vaate 3</c:v>
                </c:pt>
                <c:pt idx="3">
                  <c:v>Toimija 3 vaate 4</c:v>
                </c:pt>
              </c:strCache>
            </c:strRef>
          </c:cat>
          <c:val>
            <c:numRef>
              <c:f>'Yhteenveto raportointiin'!$D$51:$D$54</c:f>
              <c:numCache>
                <c:formatCode>#\ ##0.00\ [$€-1]</c:formatCode>
                <c:ptCount val="4"/>
                <c:pt idx="0">
                  <c:v>6.9071891774891781E-3</c:v>
                </c:pt>
                <c:pt idx="1">
                  <c:v>6.9071891774891781E-3</c:v>
                </c:pt>
                <c:pt idx="2">
                  <c:v>6.9071891774891781E-3</c:v>
                </c:pt>
                <c:pt idx="3">
                  <c:v>6.9071891774891781E-3</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2-1262-43DB-B9B6-BCCA48113E6A}"/>
            </c:ext>
          </c:extLst>
        </c:ser>
        <c:ser>
          <c:idx val="3"/>
          <c:order val="3"/>
          <c:tx>
            <c:strRef>
              <c:f>'Yhteenveto raportointiin'!$E$50</c:f>
              <c:strCache>
                <c:ptCount val="1"/>
                <c:pt idx="0">
                  <c:v>Pesuveden käyttömaksu</c:v>
                </c:pt>
              </c:strCache>
            </c:strRef>
          </c:tx>
          <c:spPr>
            <a:solidFill>
              <a:srgbClr val="34A853"/>
            </a:solidFill>
          </c:spPr>
          <c:invertIfNegative val="1"/>
          <c:cat>
            <c:strRef>
              <c:f>'Yhteenveto raportointiin'!$A$51:$A$54</c:f>
              <c:strCache>
                <c:ptCount val="4"/>
                <c:pt idx="0">
                  <c:v>Toimija 3 vaate 1</c:v>
                </c:pt>
                <c:pt idx="1">
                  <c:v>Toimija 3 vaate 2</c:v>
                </c:pt>
                <c:pt idx="2">
                  <c:v>Toimija 3 vaate 3</c:v>
                </c:pt>
                <c:pt idx="3">
                  <c:v>Toimija 3 vaate 4</c:v>
                </c:pt>
              </c:strCache>
            </c:strRef>
          </c:cat>
          <c:val>
            <c:numRef>
              <c:f>'Yhteenveto raportointiin'!$E$51:$E$54</c:f>
              <c:numCache>
                <c:formatCode>#\ ##0.00\ [$€-1]</c:formatCode>
                <c:ptCount val="4"/>
                <c:pt idx="0">
                  <c:v>8.8267683333333336E-3</c:v>
                </c:pt>
                <c:pt idx="1">
                  <c:v>8.8267683333333336E-3</c:v>
                </c:pt>
                <c:pt idx="2">
                  <c:v>8.8267683333333336E-3</c:v>
                </c:pt>
                <c:pt idx="3">
                  <c:v>8.8267683333333336E-3</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3-1262-43DB-B9B6-BCCA48113E6A}"/>
            </c:ext>
          </c:extLst>
        </c:ser>
        <c:ser>
          <c:idx val="4"/>
          <c:order val="4"/>
          <c:tx>
            <c:strRef>
              <c:f>'Yhteenveto raportointiin'!$F$50</c:f>
              <c:strCache>
                <c:ptCount val="1"/>
                <c:pt idx="0">
                  <c:v>Jäteveden käyttömaksu</c:v>
                </c:pt>
              </c:strCache>
            </c:strRef>
          </c:tx>
          <c:spPr>
            <a:solidFill>
              <a:srgbClr val="FF6D01"/>
            </a:solidFill>
          </c:spPr>
          <c:invertIfNegative val="1"/>
          <c:cat>
            <c:strRef>
              <c:f>'Yhteenveto raportointiin'!$A$51:$A$54</c:f>
              <c:strCache>
                <c:ptCount val="4"/>
                <c:pt idx="0">
                  <c:v>Toimija 3 vaate 1</c:v>
                </c:pt>
                <c:pt idx="1">
                  <c:v>Toimija 3 vaate 2</c:v>
                </c:pt>
                <c:pt idx="2">
                  <c:v>Toimija 3 vaate 3</c:v>
                </c:pt>
                <c:pt idx="3">
                  <c:v>Toimija 3 vaate 4</c:v>
                </c:pt>
              </c:strCache>
            </c:strRef>
          </c:cat>
          <c:val>
            <c:numRef>
              <c:f>'Yhteenveto raportointiin'!$F$51:$F$54</c:f>
              <c:numCache>
                <c:formatCode>#\ ##0.00\ [$€-1]</c:formatCode>
                <c:ptCount val="4"/>
                <c:pt idx="0">
                  <c:v>1.0458607857142857E-2</c:v>
                </c:pt>
                <c:pt idx="1">
                  <c:v>1.0458607857142857E-2</c:v>
                </c:pt>
                <c:pt idx="2">
                  <c:v>1.0458607857142857E-2</c:v>
                </c:pt>
                <c:pt idx="3">
                  <c:v>1.0458607857142857E-2</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4-1262-43DB-B9B6-BCCA48113E6A}"/>
            </c:ext>
          </c:extLst>
        </c:ser>
        <c:ser>
          <c:idx val="5"/>
          <c:order val="5"/>
          <c:tx>
            <c:strRef>
              <c:f>'Yhteenveto raportointiin'!$G$50</c:f>
              <c:strCache>
                <c:ptCount val="1"/>
                <c:pt idx="0">
                  <c:v>Veden perusmaksu</c:v>
                </c:pt>
              </c:strCache>
            </c:strRef>
          </c:tx>
          <c:spPr>
            <a:solidFill>
              <a:srgbClr val="46BDC6"/>
            </a:solidFill>
          </c:spPr>
          <c:invertIfNegative val="1"/>
          <c:cat>
            <c:strRef>
              <c:f>'Yhteenveto raportointiin'!$A$51:$A$54</c:f>
              <c:strCache>
                <c:ptCount val="4"/>
                <c:pt idx="0">
                  <c:v>Toimija 3 vaate 1</c:v>
                </c:pt>
                <c:pt idx="1">
                  <c:v>Toimija 3 vaate 2</c:v>
                </c:pt>
                <c:pt idx="2">
                  <c:v>Toimija 3 vaate 3</c:v>
                </c:pt>
                <c:pt idx="3">
                  <c:v>Toimija 3 vaate 4</c:v>
                </c:pt>
              </c:strCache>
            </c:strRef>
          </c:cat>
          <c:val>
            <c:numRef>
              <c:f>'Yhteenveto raportointiin'!$G$51:$G$54</c:f>
              <c:numCache>
                <c:formatCode>#\ ##0.00\ [$€-1]</c:formatCode>
                <c:ptCount val="4"/>
                <c:pt idx="0">
                  <c:v>7.4174523809523811E-4</c:v>
                </c:pt>
                <c:pt idx="1">
                  <c:v>7.4174523809523811E-4</c:v>
                </c:pt>
                <c:pt idx="2">
                  <c:v>7.4174523809523811E-4</c:v>
                </c:pt>
                <c:pt idx="3">
                  <c:v>7.4174523809523811E-4</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5-1262-43DB-B9B6-BCCA48113E6A}"/>
            </c:ext>
          </c:extLst>
        </c:ser>
        <c:ser>
          <c:idx val="6"/>
          <c:order val="6"/>
          <c:tx>
            <c:strRef>
              <c:f>'Yhteenveto raportointiin'!$H$50</c:f>
              <c:strCache>
                <c:ptCount val="1"/>
              </c:strCache>
            </c:strRef>
          </c:tx>
          <c:spPr>
            <a:solidFill>
              <a:srgbClr val="D3E2FC"/>
            </a:solidFill>
          </c:spPr>
          <c:invertIfNegative val="1"/>
          <c:cat>
            <c:strRef>
              <c:f>'Yhteenveto raportointiin'!$A$51:$A$54</c:f>
              <c:strCache>
                <c:ptCount val="4"/>
                <c:pt idx="0">
                  <c:v>Toimija 3 vaate 1</c:v>
                </c:pt>
                <c:pt idx="1">
                  <c:v>Toimija 3 vaate 2</c:v>
                </c:pt>
                <c:pt idx="2">
                  <c:v>Toimija 3 vaate 3</c:v>
                </c:pt>
                <c:pt idx="3">
                  <c:v>Toimija 3 vaate 4</c:v>
                </c:pt>
              </c:strCache>
            </c:strRef>
          </c:cat>
          <c:val>
            <c:numRef>
              <c:f>'Yhteenveto raportointiin'!$H$51:$H$54</c:f>
              <c:numCache>
                <c:formatCode>#\ ##0.00\ [$€-1]</c:formatCode>
                <c:ptCount val="4"/>
                <c:pt idx="0">
                  <c:v>0</c:v>
                </c:pt>
                <c:pt idx="1">
                  <c:v>0</c:v>
                </c:pt>
                <c:pt idx="2">
                  <c:v>0</c:v>
                </c:pt>
                <c:pt idx="3">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6-1262-43DB-B9B6-BCCA48113E6A}"/>
            </c:ext>
          </c:extLst>
        </c:ser>
        <c:ser>
          <c:idx val="7"/>
          <c:order val="7"/>
          <c:tx>
            <c:strRef>
              <c:f>'Yhteenveto raportointiin'!$I$50</c:f>
              <c:strCache>
                <c:ptCount val="1"/>
              </c:strCache>
            </c:strRef>
          </c:tx>
          <c:spPr>
            <a:solidFill>
              <a:srgbClr val="F8C4C0"/>
            </a:solidFill>
          </c:spPr>
          <c:invertIfNegative val="1"/>
          <c:cat>
            <c:strRef>
              <c:f>'Yhteenveto raportointiin'!$A$51:$A$54</c:f>
              <c:strCache>
                <c:ptCount val="4"/>
                <c:pt idx="0">
                  <c:v>Toimija 3 vaate 1</c:v>
                </c:pt>
                <c:pt idx="1">
                  <c:v>Toimija 3 vaate 2</c:v>
                </c:pt>
                <c:pt idx="2">
                  <c:v>Toimija 3 vaate 3</c:v>
                </c:pt>
                <c:pt idx="3">
                  <c:v>Toimija 3 vaate 4</c:v>
                </c:pt>
              </c:strCache>
            </c:strRef>
          </c:cat>
          <c:val>
            <c:numRef>
              <c:f>'Yhteenveto raportointiin'!$I$51:$I$54</c:f>
              <c:numCache>
                <c:formatCode>#\ ##0.00\ [$€-1]</c:formatCode>
                <c:ptCount val="4"/>
                <c:pt idx="0">
                  <c:v>0</c:v>
                </c:pt>
                <c:pt idx="1">
                  <c:v>0</c:v>
                </c:pt>
                <c:pt idx="2">
                  <c:v>0</c:v>
                </c:pt>
                <c:pt idx="3">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7-1262-43DB-B9B6-BCCA48113E6A}"/>
            </c:ext>
          </c:extLst>
        </c:ser>
        <c:ser>
          <c:idx val="8"/>
          <c:order val="8"/>
          <c:tx>
            <c:strRef>
              <c:f>'Yhteenveto raportointiin'!$J$50</c:f>
              <c:strCache>
                <c:ptCount val="1"/>
                <c:pt idx="0">
                  <c:v>Kuivauskaapin hinta / pesu</c:v>
                </c:pt>
              </c:strCache>
            </c:strRef>
          </c:tx>
          <c:spPr>
            <a:solidFill>
              <a:srgbClr val="FDE49B"/>
            </a:solidFill>
          </c:spPr>
          <c:invertIfNegative val="1"/>
          <c:cat>
            <c:strRef>
              <c:f>'Yhteenveto raportointiin'!$A$51:$A$54</c:f>
              <c:strCache>
                <c:ptCount val="4"/>
                <c:pt idx="0">
                  <c:v>Toimija 3 vaate 1</c:v>
                </c:pt>
                <c:pt idx="1">
                  <c:v>Toimija 3 vaate 2</c:v>
                </c:pt>
                <c:pt idx="2">
                  <c:v>Toimija 3 vaate 3</c:v>
                </c:pt>
                <c:pt idx="3">
                  <c:v>Toimija 3 vaate 4</c:v>
                </c:pt>
              </c:strCache>
            </c:strRef>
          </c:cat>
          <c:val>
            <c:numRef>
              <c:f>'Yhteenveto raportointiin'!$J$51:$J$54</c:f>
              <c:numCache>
                <c:formatCode>#\ ##0.00\ [$€-1]</c:formatCode>
                <c:ptCount val="4"/>
                <c:pt idx="0">
                  <c:v>0.10634068773603655</c:v>
                </c:pt>
                <c:pt idx="1">
                  <c:v>0.10634068773603655</c:v>
                </c:pt>
                <c:pt idx="2">
                  <c:v>0.10634068773603655</c:v>
                </c:pt>
                <c:pt idx="3">
                  <c:v>0.10634068773603655</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8-1262-43DB-B9B6-BCCA48113E6A}"/>
            </c:ext>
          </c:extLst>
        </c:ser>
        <c:ser>
          <c:idx val="9"/>
          <c:order val="9"/>
          <c:tx>
            <c:strRef>
              <c:f>'Yhteenveto raportointiin'!$K$50</c:f>
              <c:strCache>
                <c:ptCount val="1"/>
                <c:pt idx="0">
                  <c:v>Kuivauskaapin sähkö</c:v>
                </c:pt>
              </c:strCache>
            </c:strRef>
          </c:tx>
          <c:spPr>
            <a:solidFill>
              <a:srgbClr val="96DFAA"/>
            </a:solidFill>
          </c:spPr>
          <c:invertIfNegative val="1"/>
          <c:cat>
            <c:strRef>
              <c:f>'Yhteenveto raportointiin'!$A$51:$A$54</c:f>
              <c:strCache>
                <c:ptCount val="4"/>
                <c:pt idx="0">
                  <c:v>Toimija 3 vaate 1</c:v>
                </c:pt>
                <c:pt idx="1">
                  <c:v>Toimija 3 vaate 2</c:v>
                </c:pt>
                <c:pt idx="2">
                  <c:v>Toimija 3 vaate 3</c:v>
                </c:pt>
                <c:pt idx="3">
                  <c:v>Toimija 3 vaate 4</c:v>
                </c:pt>
              </c:strCache>
            </c:strRef>
          </c:cat>
          <c:val>
            <c:numRef>
              <c:f>'Yhteenveto raportointiin'!$K$51:$K$54</c:f>
              <c:numCache>
                <c:formatCode>#\ ##0.00\ [$€-1]</c:formatCode>
                <c:ptCount val="4"/>
                <c:pt idx="0">
                  <c:v>4.4931999999999993E-2</c:v>
                </c:pt>
                <c:pt idx="1">
                  <c:v>4.4931999999999993E-2</c:v>
                </c:pt>
                <c:pt idx="2">
                  <c:v>4.4931999999999993E-2</c:v>
                </c:pt>
                <c:pt idx="3">
                  <c:v>4.4931999999999993E-2</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9-1262-43DB-B9B6-BCCA48113E6A}"/>
            </c:ext>
          </c:extLst>
        </c:ser>
        <c:ser>
          <c:idx val="10"/>
          <c:order val="10"/>
          <c:tx>
            <c:strRef>
              <c:f>'Yhteenveto raportointiin'!$L$50</c:f>
              <c:strCache>
                <c:ptCount val="1"/>
                <c:pt idx="0">
                  <c:v>Pesuaineen hinta</c:v>
                </c:pt>
              </c:strCache>
            </c:strRef>
          </c:tx>
          <c:spPr>
            <a:solidFill>
              <a:srgbClr val="FFC59A"/>
            </a:solidFill>
          </c:spPr>
          <c:invertIfNegative val="1"/>
          <c:cat>
            <c:strRef>
              <c:f>'Yhteenveto raportointiin'!$A$51:$A$54</c:f>
              <c:strCache>
                <c:ptCount val="4"/>
                <c:pt idx="0">
                  <c:v>Toimija 3 vaate 1</c:v>
                </c:pt>
                <c:pt idx="1">
                  <c:v>Toimija 3 vaate 2</c:v>
                </c:pt>
                <c:pt idx="2">
                  <c:v>Toimija 3 vaate 3</c:v>
                </c:pt>
                <c:pt idx="3">
                  <c:v>Toimija 3 vaate 4</c:v>
                </c:pt>
              </c:strCache>
            </c:strRef>
          </c:cat>
          <c:val>
            <c:numRef>
              <c:f>'Yhteenveto raportointiin'!$L$51:$L$54</c:f>
              <c:numCache>
                <c:formatCode>#\ ##0.00\ [$€-1]</c:formatCode>
                <c:ptCount val="4"/>
                <c:pt idx="0">
                  <c:v>3.8999999999999998E-3</c:v>
                </c:pt>
                <c:pt idx="1">
                  <c:v>3.8999999999999998E-3</c:v>
                </c:pt>
                <c:pt idx="2">
                  <c:v>3.8999999999999998E-3</c:v>
                </c:pt>
                <c:pt idx="3">
                  <c:v>3.8999999999999998E-3</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A-1262-43DB-B9B6-BCCA48113E6A}"/>
            </c:ext>
          </c:extLst>
        </c:ser>
        <c:ser>
          <c:idx val="11"/>
          <c:order val="11"/>
          <c:tx>
            <c:strRef>
              <c:f>'Yhteenveto raportointiin'!$M$50</c:f>
              <c:strCache>
                <c:ptCount val="1"/>
                <c:pt idx="0">
                  <c:v>Pesuun ja kuivaukseen menevän työn hinta</c:v>
                </c:pt>
              </c:strCache>
            </c:strRef>
          </c:tx>
          <c:spPr>
            <a:solidFill>
              <a:srgbClr val="BBE7EA"/>
            </a:solidFill>
          </c:spPr>
          <c:invertIfNegative val="1"/>
          <c:cat>
            <c:strRef>
              <c:f>'Yhteenveto raportointiin'!$A$51:$A$54</c:f>
              <c:strCache>
                <c:ptCount val="4"/>
                <c:pt idx="0">
                  <c:v>Toimija 3 vaate 1</c:v>
                </c:pt>
                <c:pt idx="1">
                  <c:v>Toimija 3 vaate 2</c:v>
                </c:pt>
                <c:pt idx="2">
                  <c:v>Toimija 3 vaate 3</c:v>
                </c:pt>
                <c:pt idx="3">
                  <c:v>Toimija 3 vaate 4</c:v>
                </c:pt>
              </c:strCache>
            </c:strRef>
          </c:cat>
          <c:val>
            <c:numRef>
              <c:f>'Yhteenveto raportointiin'!$M$51:$M$54</c:f>
              <c:numCache>
                <c:formatCode>#\ ##0.00\ [$€-1]</c:formatCode>
                <c:ptCount val="4"/>
                <c:pt idx="0">
                  <c:v>0.55604838709677418</c:v>
                </c:pt>
                <c:pt idx="1">
                  <c:v>0.55604838709677418</c:v>
                </c:pt>
                <c:pt idx="2">
                  <c:v>0.55604838709677418</c:v>
                </c:pt>
                <c:pt idx="3">
                  <c:v>0.55604838709677418</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B-1262-43DB-B9B6-BCCA48113E6A}"/>
            </c:ext>
          </c:extLst>
        </c:ser>
        <c:ser>
          <c:idx val="12"/>
          <c:order val="12"/>
          <c:tx>
            <c:strRef>
              <c:f>'Yhteenveto raportointiin'!$N$50</c:f>
              <c:strCache>
                <c:ptCount val="1"/>
              </c:strCache>
            </c:strRef>
          </c:tx>
          <c:invertIfNegative val="1"/>
          <c:cat>
            <c:strRef>
              <c:f>'Yhteenveto raportointiin'!$A$51:$A$54</c:f>
              <c:strCache>
                <c:ptCount val="4"/>
                <c:pt idx="0">
                  <c:v>Toimija 3 vaate 1</c:v>
                </c:pt>
                <c:pt idx="1">
                  <c:v>Toimija 3 vaate 2</c:v>
                </c:pt>
                <c:pt idx="2">
                  <c:v>Toimija 3 vaate 3</c:v>
                </c:pt>
                <c:pt idx="3">
                  <c:v>Toimija 3 vaate 4</c:v>
                </c:pt>
              </c:strCache>
            </c:strRef>
          </c:cat>
          <c:val>
            <c:numRef>
              <c:f>'Yhteenveto raportointiin'!$N$51:$N$54</c:f>
              <c:numCache>
                <c:formatCode>#\ ##0.00\ [$€-1]</c:formatCode>
                <c:ptCount val="4"/>
                <c:pt idx="0">
                  <c:v>0</c:v>
                </c:pt>
                <c:pt idx="1">
                  <c:v>0</c:v>
                </c:pt>
                <c:pt idx="2">
                  <c:v>0</c:v>
                </c:pt>
                <c:pt idx="3">
                  <c:v>0</c:v>
                </c:pt>
              </c:numCache>
            </c:numRef>
          </c:val>
          <c:extLst>
            <c:ext xmlns:c16="http://schemas.microsoft.com/office/drawing/2014/chart" uri="{C3380CC4-5D6E-409C-BE32-E72D297353CC}">
              <c16:uniqueId val="{0000000C-1262-43DB-B9B6-BCCA48113E6A}"/>
            </c:ext>
          </c:extLst>
        </c:ser>
        <c:ser>
          <c:idx val="13"/>
          <c:order val="13"/>
          <c:tx>
            <c:strRef>
              <c:f>'Yhteenveto raportointiin'!$O$50</c:f>
              <c:strCache>
                <c:ptCount val="1"/>
                <c:pt idx="0">
                  <c:v>Epäoptimaalisen pesun kustannus</c:v>
                </c:pt>
              </c:strCache>
            </c:strRef>
          </c:tx>
          <c:invertIfNegative val="1"/>
          <c:cat>
            <c:strRef>
              <c:f>'Yhteenveto raportointiin'!$A$51:$A$54</c:f>
              <c:strCache>
                <c:ptCount val="4"/>
                <c:pt idx="0">
                  <c:v>Toimija 3 vaate 1</c:v>
                </c:pt>
                <c:pt idx="1">
                  <c:v>Toimija 3 vaate 2</c:v>
                </c:pt>
                <c:pt idx="2">
                  <c:v>Toimija 3 vaate 3</c:v>
                </c:pt>
                <c:pt idx="3">
                  <c:v>Toimija 3 vaate 4</c:v>
                </c:pt>
              </c:strCache>
            </c:strRef>
          </c:cat>
          <c:val>
            <c:numRef>
              <c:f>'Yhteenveto raportointiin'!$O$51:$O$54</c:f>
              <c:numCache>
                <c:formatCode>#\ ##0.00\ [$€-1]</c:formatCode>
                <c:ptCount val="4"/>
                <c:pt idx="0">
                  <c:v>0.60848024432467995</c:v>
                </c:pt>
                <c:pt idx="1">
                  <c:v>0.60848024432467995</c:v>
                </c:pt>
                <c:pt idx="2">
                  <c:v>0.60848024432467995</c:v>
                </c:pt>
                <c:pt idx="3">
                  <c:v>0.60848024432467995</c:v>
                </c:pt>
              </c:numCache>
            </c:numRef>
          </c:val>
          <c:extLst>
            <c:ext xmlns:c16="http://schemas.microsoft.com/office/drawing/2014/chart" uri="{C3380CC4-5D6E-409C-BE32-E72D297353CC}">
              <c16:uniqueId val="{0000000D-1262-43DB-B9B6-BCCA48113E6A}"/>
            </c:ext>
          </c:extLst>
        </c:ser>
        <c:dLbls>
          <c:showLegendKey val="0"/>
          <c:showVal val="0"/>
          <c:showCatName val="0"/>
          <c:showSerName val="0"/>
          <c:showPercent val="0"/>
          <c:showBubbleSize val="0"/>
        </c:dLbls>
        <c:gapWidth val="150"/>
        <c:overlap val="100"/>
        <c:axId val="1395325972"/>
        <c:axId val="1372802962"/>
      </c:barChart>
      <c:catAx>
        <c:axId val="1395325972"/>
        <c:scaling>
          <c:orientation val="minMax"/>
        </c:scaling>
        <c:delete val="0"/>
        <c:axPos val="b"/>
        <c:title>
          <c:tx>
            <c:rich>
              <a:bodyPr/>
              <a:lstStyle/>
              <a:p>
                <a:pPr lvl="0">
                  <a:defRPr b="0">
                    <a:solidFill>
                      <a:srgbClr val="000000"/>
                    </a:solidFill>
                    <a:latin typeface="+mn-lt"/>
                  </a:defRPr>
                </a:pPr>
                <a:endParaRPr lang="fi-FI"/>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fi-FI"/>
          </a:p>
        </c:txPr>
        <c:crossAx val="1372802962"/>
        <c:crosses val="autoZero"/>
        <c:auto val="1"/>
        <c:lblAlgn val="ctr"/>
        <c:lblOffset val="100"/>
        <c:noMultiLvlLbl val="1"/>
      </c:catAx>
      <c:valAx>
        <c:axId val="1372802962"/>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fi-FI"/>
              </a:p>
            </c:rich>
          </c:tx>
          <c:overlay val="0"/>
        </c:title>
        <c:numFmt formatCode="#,##0.00\ [$€-1]" sourceLinked="0"/>
        <c:majorTickMark val="none"/>
        <c:minorTickMark val="none"/>
        <c:tickLblPos val="nextTo"/>
        <c:spPr>
          <a:ln>
            <a:solidFill/>
          </a:ln>
        </c:spPr>
        <c:txPr>
          <a:bodyPr/>
          <a:lstStyle/>
          <a:p>
            <a:pPr lvl="0">
              <a:defRPr b="0">
                <a:solidFill>
                  <a:srgbClr val="000000"/>
                </a:solidFill>
                <a:latin typeface="+mn-lt"/>
              </a:defRPr>
            </a:pPr>
            <a:endParaRPr lang="fi-FI"/>
          </a:p>
        </c:txPr>
        <c:crossAx val="1395325972"/>
        <c:crosses val="autoZero"/>
        <c:crossBetween val="between"/>
      </c:valAx>
    </c:plotArea>
    <c:legend>
      <c:legendPos val="r"/>
      <c:overlay val="0"/>
      <c:txPr>
        <a:bodyPr/>
        <a:lstStyle/>
        <a:p>
          <a:pPr lvl="0">
            <a:defRPr b="0">
              <a:solidFill>
                <a:srgbClr val="1A1A1A"/>
              </a:solidFill>
              <a:latin typeface="+mn-lt"/>
            </a:defRPr>
          </a:pPr>
          <a:endParaRPr lang="fi-FI"/>
        </a:p>
      </c:txPr>
    </c:legend>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1"/>
  <c:style val="2"/>
  <c:chart>
    <c:autoTitleDeleted val="1"/>
    <c:plotArea>
      <c:layout/>
      <c:barChart>
        <c:barDir val="col"/>
        <c:grouping val="clustered"/>
        <c:varyColors val="1"/>
        <c:ser>
          <c:idx val="0"/>
          <c:order val="0"/>
          <c:tx>
            <c:strRef>
              <c:f>'Yhteenveto tuloksista, hiilijal'!$B$31</c:f>
              <c:strCache>
                <c:ptCount val="1"/>
                <c:pt idx="0">
                  <c:v>Nykytila (litraa vettä vuodessa)</c:v>
                </c:pt>
              </c:strCache>
            </c:strRef>
          </c:tx>
          <c:spPr>
            <a:solidFill>
              <a:srgbClr val="E91D63"/>
            </a:solidFill>
          </c:spPr>
          <c:invertIfNegative val="1"/>
          <c:cat>
            <c:strRef>
              <c:f>'Yhteenveto tuloksista, hiilijal'!$A$32:$A$34</c:f>
              <c:strCache>
                <c:ptCount val="3"/>
                <c:pt idx="0">
                  <c:v>Toimija 1</c:v>
                </c:pt>
                <c:pt idx="1">
                  <c:v>Toimija 2</c:v>
                </c:pt>
                <c:pt idx="2">
                  <c:v>Toimija 3</c:v>
                </c:pt>
              </c:strCache>
            </c:strRef>
          </c:cat>
          <c:val>
            <c:numRef>
              <c:f>'Yhteenveto tuloksista, hiilijal'!$B$32:$B$34</c:f>
              <c:numCache>
                <c:formatCode>0</c:formatCode>
                <c:ptCount val="3"/>
                <c:pt idx="0">
                  <c:v>110</c:v>
                </c:pt>
                <c:pt idx="1">
                  <c:v>3980</c:v>
                </c:pt>
                <c:pt idx="2">
                  <c:v>750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0-BD09-4FB1-9A89-F128B8E4AE3A}"/>
            </c:ext>
          </c:extLst>
        </c:ser>
        <c:ser>
          <c:idx val="1"/>
          <c:order val="1"/>
          <c:tx>
            <c:strRef>
              <c:f>'Yhteenveto tuloksista, hiilijal'!$C$31</c:f>
              <c:strCache>
                <c:ptCount val="1"/>
                <c:pt idx="0">
                  <c:v>Palvelu (litraa vettä vuodessa)</c:v>
                </c:pt>
              </c:strCache>
            </c:strRef>
          </c:tx>
          <c:spPr>
            <a:solidFill>
              <a:srgbClr val="43AAB1"/>
            </a:solidFill>
          </c:spPr>
          <c:invertIfNegative val="1"/>
          <c:cat>
            <c:strRef>
              <c:f>'Yhteenveto tuloksista, hiilijal'!$A$32:$A$34</c:f>
              <c:strCache>
                <c:ptCount val="3"/>
                <c:pt idx="0">
                  <c:v>Toimija 1</c:v>
                </c:pt>
                <c:pt idx="1">
                  <c:v>Toimija 2</c:v>
                </c:pt>
                <c:pt idx="2">
                  <c:v>Toimija 3</c:v>
                </c:pt>
              </c:strCache>
            </c:strRef>
          </c:cat>
          <c:val>
            <c:numRef>
              <c:f>'Yhteenveto tuloksista, hiilijal'!$C$32:$C$34</c:f>
              <c:numCache>
                <c:formatCode>0</c:formatCode>
                <c:ptCount val="3"/>
                <c:pt idx="0">
                  <c:v>90</c:v>
                </c:pt>
                <c:pt idx="1">
                  <c:v>3420</c:v>
                </c:pt>
                <c:pt idx="2" formatCode="General">
                  <c:v>620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1-BD09-4FB1-9A89-F128B8E4AE3A}"/>
            </c:ext>
          </c:extLst>
        </c:ser>
        <c:ser>
          <c:idx val="2"/>
          <c:order val="2"/>
          <c:tx>
            <c:strRef>
              <c:f>'Yhteenveto tuloksista, hiilijal'!$D$31</c:f>
              <c:strCache>
                <c:ptCount val="1"/>
              </c:strCache>
            </c:strRef>
          </c:tx>
          <c:invertIfNegative val="1"/>
          <c:cat>
            <c:strRef>
              <c:f>'Yhteenveto tuloksista, hiilijal'!$A$32:$A$34</c:f>
              <c:strCache>
                <c:ptCount val="3"/>
                <c:pt idx="0">
                  <c:v>Toimija 1</c:v>
                </c:pt>
                <c:pt idx="1">
                  <c:v>Toimija 2</c:v>
                </c:pt>
                <c:pt idx="2">
                  <c:v>Toimija 3</c:v>
                </c:pt>
              </c:strCache>
            </c:strRef>
          </c:cat>
          <c:val>
            <c:numRef>
              <c:f>'Yhteenveto tuloksista, hiilijal'!$D$32:$D$34</c:f>
              <c:numCache>
                <c:formatCode>General</c:formatCode>
                <c:ptCount val="3"/>
              </c:numCache>
            </c:numRef>
          </c:val>
          <c:extLst>
            <c:ext xmlns:c16="http://schemas.microsoft.com/office/drawing/2014/chart" uri="{C3380CC4-5D6E-409C-BE32-E72D297353CC}">
              <c16:uniqueId val="{00000002-BD09-4FB1-9A89-F128B8E4AE3A}"/>
            </c:ext>
          </c:extLst>
        </c:ser>
        <c:dLbls>
          <c:showLegendKey val="0"/>
          <c:showVal val="0"/>
          <c:showCatName val="0"/>
          <c:showSerName val="0"/>
          <c:showPercent val="0"/>
          <c:showBubbleSize val="0"/>
        </c:dLbls>
        <c:gapWidth val="150"/>
        <c:axId val="2147117253"/>
        <c:axId val="439691843"/>
      </c:barChart>
      <c:catAx>
        <c:axId val="2147117253"/>
        <c:scaling>
          <c:orientation val="minMax"/>
        </c:scaling>
        <c:delete val="0"/>
        <c:axPos val="b"/>
        <c:title>
          <c:tx>
            <c:rich>
              <a:bodyPr/>
              <a:lstStyle/>
              <a:p>
                <a:pPr lvl="0">
                  <a:defRPr b="0">
                    <a:solidFill>
                      <a:srgbClr val="000000"/>
                    </a:solidFill>
                    <a:latin typeface="+mn-lt"/>
                  </a:defRPr>
                </a:pPr>
                <a:endParaRPr lang="fi-FI"/>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fi-FI"/>
          </a:p>
        </c:txPr>
        <c:crossAx val="439691843"/>
        <c:crosses val="autoZero"/>
        <c:auto val="1"/>
        <c:lblAlgn val="ctr"/>
        <c:lblOffset val="100"/>
        <c:noMultiLvlLbl val="1"/>
      </c:catAx>
      <c:valAx>
        <c:axId val="439691843"/>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fi-FI"/>
              </a:p>
            </c:rich>
          </c:tx>
          <c:overlay val="0"/>
        </c:title>
        <c:numFmt formatCode="0" sourceLinked="1"/>
        <c:majorTickMark val="none"/>
        <c:minorTickMark val="none"/>
        <c:tickLblPos val="nextTo"/>
        <c:spPr>
          <a:ln/>
        </c:spPr>
        <c:txPr>
          <a:bodyPr/>
          <a:lstStyle/>
          <a:p>
            <a:pPr lvl="0">
              <a:defRPr b="0">
                <a:solidFill>
                  <a:srgbClr val="000000"/>
                </a:solidFill>
                <a:latin typeface="+mn-lt"/>
              </a:defRPr>
            </a:pPr>
            <a:endParaRPr lang="fi-FI"/>
          </a:p>
        </c:txPr>
        <c:crossAx val="2147117253"/>
        <c:crosses val="autoZero"/>
        <c:crossBetween val="between"/>
      </c:valAx>
    </c:plotArea>
    <c:legend>
      <c:legendPos val="r"/>
      <c:overlay val="0"/>
      <c:txPr>
        <a:bodyPr/>
        <a:lstStyle/>
        <a:p>
          <a:pPr lvl="0">
            <a:defRPr b="0">
              <a:solidFill>
                <a:srgbClr val="1A1A1A"/>
              </a:solidFill>
              <a:latin typeface="+mn-lt"/>
            </a:defRPr>
          </a:pPr>
          <a:endParaRPr lang="fi-FI"/>
        </a:p>
      </c:txPr>
    </c:legend>
    <c:plotVisOnly val="1"/>
    <c:dispBlanksAs val="zero"/>
    <c:showDLblsOverMax val="1"/>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1"/>
  <c:style val="2"/>
  <c:chart>
    <c:title>
      <c:tx>
        <c:rich>
          <a:bodyPr/>
          <a:lstStyle/>
          <a:p>
            <a:pPr lvl="0">
              <a:defRPr b="0">
                <a:solidFill>
                  <a:srgbClr val="757575"/>
                </a:solidFill>
                <a:latin typeface="+mn-lt"/>
              </a:defRPr>
            </a:pPr>
            <a:r>
              <a:rPr lang="fi-FI" b="0">
                <a:solidFill>
                  <a:srgbClr val="757575"/>
                </a:solidFill>
                <a:latin typeface="+mn-lt"/>
              </a:rPr>
              <a:t>STARA</a:t>
            </a:r>
          </a:p>
        </c:rich>
      </c:tx>
      <c:overlay val="0"/>
    </c:title>
    <c:autoTitleDeleted val="0"/>
    <c:plotArea>
      <c:layout/>
      <c:barChart>
        <c:barDir val="col"/>
        <c:grouping val="stacked"/>
        <c:varyColors val="1"/>
        <c:ser>
          <c:idx val="0"/>
          <c:order val="0"/>
          <c:tx>
            <c:strRef>
              <c:f>'Yhteenveto tuloksista, hiilijal'!$A$11</c:f>
              <c:strCache>
                <c:ptCount val="1"/>
                <c:pt idx="0">
                  <c:v>Kuljetukset</c:v>
                </c:pt>
              </c:strCache>
            </c:strRef>
          </c:tx>
          <c:spPr>
            <a:solidFill>
              <a:srgbClr val="4285F4"/>
            </a:solidFill>
          </c:spPr>
          <c:invertIfNegative val="1"/>
          <c:cat>
            <c:strRef>
              <c:f>'Yhteenveto tuloksista, hiilijal'!$B$10:$D$10</c:f>
              <c:strCache>
                <c:ptCount val="2"/>
                <c:pt idx="0">
                  <c:v>Nykytila (kg CO₂e/a)</c:v>
                </c:pt>
                <c:pt idx="1">
                  <c:v>Palvelu (kg CO₂e/a)</c:v>
                </c:pt>
              </c:strCache>
            </c:strRef>
          </c:cat>
          <c:val>
            <c:numRef>
              <c:f>'Yhteenveto tuloksista, hiilijal'!$B$11:$D$11</c:f>
              <c:numCache>
                <c:formatCode>0.0</c:formatCode>
                <c:ptCount val="3"/>
                <c:pt idx="0">
                  <c:v>0</c:v>
                </c:pt>
                <c:pt idx="1">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0-3C74-40AF-9272-36FD1484306E}"/>
            </c:ext>
          </c:extLst>
        </c:ser>
        <c:ser>
          <c:idx val="1"/>
          <c:order val="1"/>
          <c:tx>
            <c:strRef>
              <c:f>'Yhteenveto tuloksista, hiilijal'!$A$12</c:f>
              <c:strCache>
                <c:ptCount val="1"/>
                <c:pt idx="0">
                  <c:v>Pesu kotona ja toimipisteellä</c:v>
                </c:pt>
              </c:strCache>
            </c:strRef>
          </c:tx>
          <c:spPr>
            <a:solidFill>
              <a:srgbClr val="EA4335"/>
            </a:solidFill>
          </c:spPr>
          <c:invertIfNegative val="1"/>
          <c:cat>
            <c:strRef>
              <c:f>'Yhteenveto tuloksista, hiilijal'!$B$10:$D$10</c:f>
              <c:strCache>
                <c:ptCount val="2"/>
                <c:pt idx="0">
                  <c:v>Nykytila (kg CO₂e/a)</c:v>
                </c:pt>
                <c:pt idx="1">
                  <c:v>Palvelu (kg CO₂e/a)</c:v>
                </c:pt>
              </c:strCache>
            </c:strRef>
          </c:cat>
          <c:val>
            <c:numRef>
              <c:f>'Yhteenveto tuloksista, hiilijal'!$B$12:$D$12</c:f>
              <c:numCache>
                <c:formatCode>0.0</c:formatCode>
                <c:ptCount val="3"/>
                <c:pt idx="0">
                  <c:v>0.26</c:v>
                </c:pt>
                <c:pt idx="1">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1-3C74-40AF-9272-36FD1484306E}"/>
            </c:ext>
          </c:extLst>
        </c:ser>
        <c:ser>
          <c:idx val="2"/>
          <c:order val="2"/>
          <c:tx>
            <c:strRef>
              <c:f>'Yhteenveto tuloksista, hiilijal'!$A$13</c:f>
              <c:strCache>
                <c:ptCount val="1"/>
                <c:pt idx="0">
                  <c:v>Kuivaus kotona ja toimipisteellä</c:v>
                </c:pt>
              </c:strCache>
            </c:strRef>
          </c:tx>
          <c:spPr>
            <a:solidFill>
              <a:srgbClr val="FBBC04"/>
            </a:solidFill>
          </c:spPr>
          <c:invertIfNegative val="1"/>
          <c:cat>
            <c:strRef>
              <c:f>'Yhteenveto tuloksista, hiilijal'!$B$10:$D$10</c:f>
              <c:strCache>
                <c:ptCount val="2"/>
                <c:pt idx="0">
                  <c:v>Nykytila (kg CO₂e/a)</c:v>
                </c:pt>
                <c:pt idx="1">
                  <c:v>Palvelu (kg CO₂e/a)</c:v>
                </c:pt>
              </c:strCache>
            </c:strRef>
          </c:cat>
          <c:val>
            <c:numRef>
              <c:f>'Yhteenveto tuloksista, hiilijal'!$B$13:$D$13</c:f>
              <c:numCache>
                <c:formatCode>0.0</c:formatCode>
                <c:ptCount val="3"/>
                <c:pt idx="0">
                  <c:v>1.5</c:v>
                </c:pt>
                <c:pt idx="1">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2-3C74-40AF-9272-36FD1484306E}"/>
            </c:ext>
          </c:extLst>
        </c:ser>
        <c:ser>
          <c:idx val="3"/>
          <c:order val="3"/>
          <c:tx>
            <c:strRef>
              <c:f>'Yhteenveto tuloksista, hiilijal'!$A$14</c:f>
              <c:strCache>
                <c:ptCount val="1"/>
                <c:pt idx="0">
                  <c:v>Pesu ja kuivaus pesulassa, sähkö</c:v>
                </c:pt>
              </c:strCache>
            </c:strRef>
          </c:tx>
          <c:spPr>
            <a:solidFill>
              <a:srgbClr val="34A853"/>
            </a:solidFill>
          </c:spPr>
          <c:invertIfNegative val="1"/>
          <c:cat>
            <c:strRef>
              <c:f>'Yhteenveto tuloksista, hiilijal'!$B$10:$D$10</c:f>
              <c:strCache>
                <c:ptCount val="2"/>
                <c:pt idx="0">
                  <c:v>Nykytila (kg CO₂e/a)</c:v>
                </c:pt>
                <c:pt idx="1">
                  <c:v>Palvelu (kg CO₂e/a)</c:v>
                </c:pt>
              </c:strCache>
            </c:strRef>
          </c:cat>
          <c:val>
            <c:numRef>
              <c:f>'Yhteenveto tuloksista, hiilijal'!$B$14:$D$14</c:f>
              <c:numCache>
                <c:formatCode>0.0</c:formatCode>
                <c:ptCount val="3"/>
                <c:pt idx="0">
                  <c:v>0</c:v>
                </c:pt>
                <c:pt idx="1">
                  <c:v>0.62</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3-3C74-40AF-9272-36FD1484306E}"/>
            </c:ext>
          </c:extLst>
        </c:ser>
        <c:ser>
          <c:idx val="4"/>
          <c:order val="4"/>
          <c:tx>
            <c:strRef>
              <c:f>'Yhteenveto tuloksista, hiilijal'!$A$15</c:f>
              <c:strCache>
                <c:ptCount val="1"/>
                <c:pt idx="0">
                  <c:v>Kuivaus pesulassa, kaasu</c:v>
                </c:pt>
              </c:strCache>
            </c:strRef>
          </c:tx>
          <c:spPr>
            <a:solidFill>
              <a:srgbClr val="FF6D01"/>
            </a:solidFill>
          </c:spPr>
          <c:invertIfNegative val="1"/>
          <c:cat>
            <c:strRef>
              <c:f>'Yhteenveto tuloksista, hiilijal'!$B$10:$D$10</c:f>
              <c:strCache>
                <c:ptCount val="2"/>
                <c:pt idx="0">
                  <c:v>Nykytila (kg CO₂e/a)</c:v>
                </c:pt>
                <c:pt idx="1">
                  <c:v>Palvelu (kg CO₂e/a)</c:v>
                </c:pt>
              </c:strCache>
            </c:strRef>
          </c:cat>
          <c:val>
            <c:numRef>
              <c:f>'Yhteenveto tuloksista, hiilijal'!$B$15:$D$15</c:f>
              <c:numCache>
                <c:formatCode>0.0</c:formatCode>
                <c:ptCount val="3"/>
                <c:pt idx="0">
                  <c:v>0</c:v>
                </c:pt>
                <c:pt idx="1">
                  <c:v>3.82</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4-3C74-40AF-9272-36FD1484306E}"/>
            </c:ext>
          </c:extLst>
        </c:ser>
        <c:dLbls>
          <c:showLegendKey val="0"/>
          <c:showVal val="0"/>
          <c:showCatName val="0"/>
          <c:showSerName val="0"/>
          <c:showPercent val="0"/>
          <c:showBubbleSize val="0"/>
        </c:dLbls>
        <c:gapWidth val="150"/>
        <c:overlap val="100"/>
        <c:axId val="1417397427"/>
        <c:axId val="1300605069"/>
      </c:barChart>
      <c:catAx>
        <c:axId val="1417397427"/>
        <c:scaling>
          <c:orientation val="minMax"/>
        </c:scaling>
        <c:delete val="0"/>
        <c:axPos val="b"/>
        <c:title>
          <c:tx>
            <c:rich>
              <a:bodyPr/>
              <a:lstStyle/>
              <a:p>
                <a:pPr lvl="0">
                  <a:defRPr b="0">
                    <a:solidFill>
                      <a:srgbClr val="000000"/>
                    </a:solidFill>
                    <a:latin typeface="+mn-lt"/>
                  </a:defRPr>
                </a:pPr>
                <a:endParaRPr lang="fi-FI"/>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fi-FI"/>
          </a:p>
        </c:txPr>
        <c:crossAx val="1300605069"/>
        <c:crosses val="autoZero"/>
        <c:auto val="1"/>
        <c:lblAlgn val="ctr"/>
        <c:lblOffset val="100"/>
        <c:noMultiLvlLbl val="1"/>
      </c:catAx>
      <c:valAx>
        <c:axId val="1300605069"/>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fi-FI"/>
              </a:p>
            </c:rich>
          </c:tx>
          <c:overlay val="0"/>
        </c:title>
        <c:numFmt formatCode="0.0" sourceLinked="1"/>
        <c:majorTickMark val="none"/>
        <c:minorTickMark val="none"/>
        <c:tickLblPos val="nextTo"/>
        <c:spPr>
          <a:ln/>
        </c:spPr>
        <c:txPr>
          <a:bodyPr/>
          <a:lstStyle/>
          <a:p>
            <a:pPr lvl="0">
              <a:defRPr b="0">
                <a:solidFill>
                  <a:srgbClr val="000000"/>
                </a:solidFill>
                <a:latin typeface="+mn-lt"/>
              </a:defRPr>
            </a:pPr>
            <a:endParaRPr lang="fi-FI"/>
          </a:p>
        </c:txPr>
        <c:crossAx val="1417397427"/>
        <c:crosses val="autoZero"/>
        <c:crossBetween val="between"/>
      </c:valAx>
    </c:plotArea>
    <c:legend>
      <c:legendPos val="r"/>
      <c:overlay val="0"/>
      <c:txPr>
        <a:bodyPr/>
        <a:lstStyle/>
        <a:p>
          <a:pPr lvl="0">
            <a:defRPr b="0">
              <a:solidFill>
                <a:srgbClr val="1A1A1A"/>
              </a:solidFill>
              <a:latin typeface="+mn-lt"/>
            </a:defRPr>
          </a:pPr>
          <a:endParaRPr lang="fi-FI"/>
        </a:p>
      </c:txPr>
    </c:legend>
    <c:plotVisOnly val="1"/>
    <c:dispBlanksAs val="zero"/>
    <c:showDLblsOverMax val="1"/>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1"/>
  <c:style val="2"/>
  <c:chart>
    <c:title>
      <c:tx>
        <c:rich>
          <a:bodyPr/>
          <a:lstStyle/>
          <a:p>
            <a:pPr lvl="0">
              <a:defRPr b="0">
                <a:solidFill>
                  <a:srgbClr val="757575"/>
                </a:solidFill>
                <a:latin typeface="+mn-lt"/>
              </a:defRPr>
            </a:pPr>
            <a:r>
              <a:rPr lang="fi-FI" b="0">
                <a:solidFill>
                  <a:srgbClr val="757575"/>
                </a:solidFill>
                <a:latin typeface="+mn-lt"/>
              </a:rPr>
              <a:t>Ruokapalvelut</a:t>
            </a:r>
          </a:p>
        </c:rich>
      </c:tx>
      <c:overlay val="0"/>
    </c:title>
    <c:autoTitleDeleted val="0"/>
    <c:plotArea>
      <c:layout/>
      <c:barChart>
        <c:barDir val="col"/>
        <c:grouping val="stacked"/>
        <c:varyColors val="1"/>
        <c:ser>
          <c:idx val="0"/>
          <c:order val="0"/>
          <c:tx>
            <c:strRef>
              <c:f>'Yhteenveto tuloksista, hiilijal'!$A$18</c:f>
              <c:strCache>
                <c:ptCount val="1"/>
                <c:pt idx="0">
                  <c:v>Kuljetukset</c:v>
                </c:pt>
              </c:strCache>
            </c:strRef>
          </c:tx>
          <c:spPr>
            <a:solidFill>
              <a:srgbClr val="4285F4"/>
            </a:solidFill>
          </c:spPr>
          <c:invertIfNegative val="1"/>
          <c:cat>
            <c:strRef>
              <c:f>'Yhteenveto tuloksista, hiilijal'!$B$17:$C$17</c:f>
              <c:strCache>
                <c:ptCount val="2"/>
                <c:pt idx="0">
                  <c:v>Nykytila (kg CO₂e/a)</c:v>
                </c:pt>
                <c:pt idx="1">
                  <c:v>Palvelu (kg CO₂e/a)</c:v>
                </c:pt>
              </c:strCache>
            </c:strRef>
          </c:cat>
          <c:val>
            <c:numRef>
              <c:f>'Yhteenveto tuloksista, hiilijal'!$B$18:$C$18</c:f>
              <c:numCache>
                <c:formatCode>0.0</c:formatCode>
                <c:ptCount val="2"/>
                <c:pt idx="0">
                  <c:v>0.02</c:v>
                </c:pt>
                <c:pt idx="1">
                  <c:v>0.09</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0-1D4F-46D4-879C-93DEA016C06D}"/>
            </c:ext>
          </c:extLst>
        </c:ser>
        <c:ser>
          <c:idx val="1"/>
          <c:order val="1"/>
          <c:tx>
            <c:strRef>
              <c:f>'Yhteenveto tuloksista, hiilijal'!$A$19</c:f>
              <c:strCache>
                <c:ptCount val="1"/>
                <c:pt idx="0">
                  <c:v>Pesu kotona ja toimipisteellä</c:v>
                </c:pt>
              </c:strCache>
            </c:strRef>
          </c:tx>
          <c:spPr>
            <a:solidFill>
              <a:srgbClr val="EA4335"/>
            </a:solidFill>
          </c:spPr>
          <c:invertIfNegative val="1"/>
          <c:cat>
            <c:strRef>
              <c:f>'Yhteenveto tuloksista, hiilijal'!$B$17:$C$17</c:f>
              <c:strCache>
                <c:ptCount val="2"/>
                <c:pt idx="0">
                  <c:v>Nykytila (kg CO₂e/a)</c:v>
                </c:pt>
                <c:pt idx="1">
                  <c:v>Palvelu (kg CO₂e/a)</c:v>
                </c:pt>
              </c:strCache>
            </c:strRef>
          </c:cat>
          <c:val>
            <c:numRef>
              <c:f>'Yhteenveto tuloksista, hiilijal'!$B$19:$C$19</c:f>
              <c:numCache>
                <c:formatCode>0.0</c:formatCode>
                <c:ptCount val="2"/>
                <c:pt idx="0">
                  <c:v>7.6845174219999999</c:v>
                </c:pt>
                <c:pt idx="1">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1-1D4F-46D4-879C-93DEA016C06D}"/>
            </c:ext>
          </c:extLst>
        </c:ser>
        <c:ser>
          <c:idx val="2"/>
          <c:order val="2"/>
          <c:tx>
            <c:strRef>
              <c:f>'Yhteenveto tuloksista, hiilijal'!$A$20</c:f>
              <c:strCache>
                <c:ptCount val="1"/>
                <c:pt idx="0">
                  <c:v>Kuivaus kotona ja toimipisteellä</c:v>
                </c:pt>
              </c:strCache>
            </c:strRef>
          </c:tx>
          <c:spPr>
            <a:solidFill>
              <a:srgbClr val="FBBC04"/>
            </a:solidFill>
          </c:spPr>
          <c:invertIfNegative val="1"/>
          <c:cat>
            <c:strRef>
              <c:f>'Yhteenveto tuloksista, hiilijal'!$B$17:$C$17</c:f>
              <c:strCache>
                <c:ptCount val="2"/>
                <c:pt idx="0">
                  <c:v>Nykytila (kg CO₂e/a)</c:v>
                </c:pt>
                <c:pt idx="1">
                  <c:v>Palvelu (kg CO₂e/a)</c:v>
                </c:pt>
              </c:strCache>
            </c:strRef>
          </c:cat>
          <c:val>
            <c:numRef>
              <c:f>'Yhteenveto tuloksista, hiilijal'!$B$20:$C$20</c:f>
              <c:numCache>
                <c:formatCode>0.0</c:formatCode>
                <c:ptCount val="2"/>
                <c:pt idx="0">
                  <c:v>40.35</c:v>
                </c:pt>
                <c:pt idx="1">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2-1D4F-46D4-879C-93DEA016C06D}"/>
            </c:ext>
          </c:extLst>
        </c:ser>
        <c:ser>
          <c:idx val="3"/>
          <c:order val="3"/>
          <c:tx>
            <c:strRef>
              <c:f>'Yhteenveto tuloksista, hiilijal'!$A$21</c:f>
              <c:strCache>
                <c:ptCount val="1"/>
                <c:pt idx="0">
                  <c:v>Pesu ja kuivaus pesulassa, sähkö</c:v>
                </c:pt>
              </c:strCache>
            </c:strRef>
          </c:tx>
          <c:spPr>
            <a:solidFill>
              <a:srgbClr val="34A853"/>
            </a:solidFill>
          </c:spPr>
          <c:invertIfNegative val="1"/>
          <c:cat>
            <c:strRef>
              <c:f>'Yhteenveto tuloksista, hiilijal'!$B$17:$C$17</c:f>
              <c:strCache>
                <c:ptCount val="2"/>
                <c:pt idx="0">
                  <c:v>Nykytila (kg CO₂e/a)</c:v>
                </c:pt>
                <c:pt idx="1">
                  <c:v>Palvelu (kg CO₂e/a)</c:v>
                </c:pt>
              </c:strCache>
            </c:strRef>
          </c:cat>
          <c:val>
            <c:numRef>
              <c:f>'Yhteenveto tuloksista, hiilijal'!$B$21:$C$21</c:f>
              <c:numCache>
                <c:formatCode>0.0</c:formatCode>
                <c:ptCount val="2"/>
                <c:pt idx="0">
                  <c:v>4.55</c:v>
                </c:pt>
                <c:pt idx="1">
                  <c:v>22.73</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3-1D4F-46D4-879C-93DEA016C06D}"/>
            </c:ext>
          </c:extLst>
        </c:ser>
        <c:ser>
          <c:idx val="4"/>
          <c:order val="4"/>
          <c:tx>
            <c:strRef>
              <c:f>'Yhteenveto tuloksista, hiilijal'!$A$22</c:f>
              <c:strCache>
                <c:ptCount val="1"/>
                <c:pt idx="0">
                  <c:v>Kuivaus pesulassa, kaasu</c:v>
                </c:pt>
              </c:strCache>
            </c:strRef>
          </c:tx>
          <c:spPr>
            <a:solidFill>
              <a:srgbClr val="FF6D01"/>
            </a:solidFill>
          </c:spPr>
          <c:invertIfNegative val="1"/>
          <c:cat>
            <c:strRef>
              <c:f>'Yhteenveto tuloksista, hiilijal'!$B$17:$C$17</c:f>
              <c:strCache>
                <c:ptCount val="2"/>
                <c:pt idx="0">
                  <c:v>Nykytila (kg CO₂e/a)</c:v>
                </c:pt>
                <c:pt idx="1">
                  <c:v>Palvelu (kg CO₂e/a)</c:v>
                </c:pt>
              </c:strCache>
            </c:strRef>
          </c:cat>
          <c:val>
            <c:numRef>
              <c:f>'Yhteenveto tuloksista, hiilijal'!$B$22:$C$22</c:f>
              <c:numCache>
                <c:formatCode>0.0</c:formatCode>
                <c:ptCount val="2"/>
                <c:pt idx="0">
                  <c:v>27.89</c:v>
                </c:pt>
                <c:pt idx="1">
                  <c:v>139.4</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4-1D4F-46D4-879C-93DEA016C06D}"/>
            </c:ext>
          </c:extLst>
        </c:ser>
        <c:dLbls>
          <c:showLegendKey val="0"/>
          <c:showVal val="0"/>
          <c:showCatName val="0"/>
          <c:showSerName val="0"/>
          <c:showPercent val="0"/>
          <c:showBubbleSize val="0"/>
        </c:dLbls>
        <c:gapWidth val="150"/>
        <c:overlap val="100"/>
        <c:axId val="277496025"/>
        <c:axId val="827164953"/>
      </c:barChart>
      <c:catAx>
        <c:axId val="277496025"/>
        <c:scaling>
          <c:orientation val="minMax"/>
        </c:scaling>
        <c:delete val="0"/>
        <c:axPos val="b"/>
        <c:title>
          <c:tx>
            <c:rich>
              <a:bodyPr/>
              <a:lstStyle/>
              <a:p>
                <a:pPr lvl="0">
                  <a:defRPr b="0">
                    <a:solidFill>
                      <a:srgbClr val="000000"/>
                    </a:solidFill>
                    <a:latin typeface="+mn-lt"/>
                  </a:defRPr>
                </a:pPr>
                <a:endParaRPr lang="fi-FI"/>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fi-FI"/>
          </a:p>
        </c:txPr>
        <c:crossAx val="827164953"/>
        <c:crosses val="autoZero"/>
        <c:auto val="1"/>
        <c:lblAlgn val="ctr"/>
        <c:lblOffset val="100"/>
        <c:noMultiLvlLbl val="1"/>
      </c:catAx>
      <c:valAx>
        <c:axId val="827164953"/>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fi-FI"/>
              </a:p>
            </c:rich>
          </c:tx>
          <c:overlay val="0"/>
        </c:title>
        <c:numFmt formatCode="0.0" sourceLinked="1"/>
        <c:majorTickMark val="none"/>
        <c:minorTickMark val="none"/>
        <c:tickLblPos val="nextTo"/>
        <c:spPr>
          <a:ln/>
        </c:spPr>
        <c:txPr>
          <a:bodyPr/>
          <a:lstStyle/>
          <a:p>
            <a:pPr lvl="0">
              <a:defRPr b="0">
                <a:solidFill>
                  <a:srgbClr val="000000"/>
                </a:solidFill>
                <a:latin typeface="+mn-lt"/>
              </a:defRPr>
            </a:pPr>
            <a:endParaRPr lang="fi-FI"/>
          </a:p>
        </c:txPr>
        <c:crossAx val="277496025"/>
        <c:crosses val="autoZero"/>
        <c:crossBetween val="between"/>
      </c:valAx>
    </c:plotArea>
    <c:legend>
      <c:legendPos val="r"/>
      <c:overlay val="0"/>
      <c:txPr>
        <a:bodyPr/>
        <a:lstStyle/>
        <a:p>
          <a:pPr lvl="0">
            <a:defRPr b="0">
              <a:solidFill>
                <a:srgbClr val="1A1A1A"/>
              </a:solidFill>
              <a:latin typeface="+mn-lt"/>
            </a:defRPr>
          </a:pPr>
          <a:endParaRPr lang="fi-FI"/>
        </a:p>
      </c:txPr>
    </c:legend>
    <c:plotVisOnly val="1"/>
    <c:dispBlanksAs val="zero"/>
    <c:showDLblsOverMax val="1"/>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1"/>
  <c:style val="2"/>
  <c:chart>
    <c:title>
      <c:tx>
        <c:rich>
          <a:bodyPr/>
          <a:lstStyle/>
          <a:p>
            <a:pPr lvl="0">
              <a:defRPr b="0">
                <a:solidFill>
                  <a:srgbClr val="757575"/>
                </a:solidFill>
                <a:latin typeface="+mn-lt"/>
              </a:defRPr>
            </a:pPr>
            <a:r>
              <a:rPr lang="fi-FI" b="0">
                <a:solidFill>
                  <a:srgbClr val="757575"/>
                </a:solidFill>
                <a:latin typeface="+mn-lt"/>
              </a:rPr>
              <a:t>Hoivapalvelut</a:t>
            </a:r>
          </a:p>
        </c:rich>
      </c:tx>
      <c:overlay val="0"/>
    </c:title>
    <c:autoTitleDeleted val="0"/>
    <c:plotArea>
      <c:layout/>
      <c:barChart>
        <c:barDir val="col"/>
        <c:grouping val="stacked"/>
        <c:varyColors val="1"/>
        <c:ser>
          <c:idx val="0"/>
          <c:order val="0"/>
          <c:tx>
            <c:strRef>
              <c:f>'Yhteenveto tuloksista, hiilijal'!$A$25</c:f>
              <c:strCache>
                <c:ptCount val="1"/>
                <c:pt idx="0">
                  <c:v>Kuljetukset</c:v>
                </c:pt>
              </c:strCache>
            </c:strRef>
          </c:tx>
          <c:spPr>
            <a:solidFill>
              <a:srgbClr val="4285F4"/>
            </a:solidFill>
          </c:spPr>
          <c:invertIfNegative val="1"/>
          <c:cat>
            <c:strRef>
              <c:f>'Yhteenveto tuloksista, hiilijal'!$B$24:$C$24</c:f>
              <c:strCache>
                <c:ptCount val="2"/>
                <c:pt idx="0">
                  <c:v>Nykytila (kg CO₂e/a)</c:v>
                </c:pt>
                <c:pt idx="1">
                  <c:v>Palvelu (kg CO₂e/a)</c:v>
                </c:pt>
              </c:strCache>
            </c:strRef>
          </c:cat>
          <c:val>
            <c:numRef>
              <c:f>'Yhteenveto tuloksista, hiilijal'!$B$25:$C$25</c:f>
              <c:numCache>
                <c:formatCode>0.0</c:formatCode>
                <c:ptCount val="2"/>
                <c:pt idx="0">
                  <c:v>0</c:v>
                </c:pt>
                <c:pt idx="1">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0-7C12-4119-AB18-B98A5FF21D12}"/>
            </c:ext>
          </c:extLst>
        </c:ser>
        <c:ser>
          <c:idx val="1"/>
          <c:order val="1"/>
          <c:tx>
            <c:strRef>
              <c:f>'Yhteenveto tuloksista, hiilijal'!$A$26</c:f>
              <c:strCache>
                <c:ptCount val="1"/>
                <c:pt idx="0">
                  <c:v>Pesu kotona ja toimipisteellä</c:v>
                </c:pt>
              </c:strCache>
            </c:strRef>
          </c:tx>
          <c:spPr>
            <a:solidFill>
              <a:srgbClr val="EA4335"/>
            </a:solidFill>
          </c:spPr>
          <c:invertIfNegative val="1"/>
          <c:cat>
            <c:strRef>
              <c:f>'Yhteenveto tuloksista, hiilijal'!$B$24:$C$24</c:f>
              <c:strCache>
                <c:ptCount val="2"/>
                <c:pt idx="0">
                  <c:v>Nykytila (kg CO₂e/a)</c:v>
                </c:pt>
                <c:pt idx="1">
                  <c:v>Palvelu (kg CO₂e/a)</c:v>
                </c:pt>
              </c:strCache>
            </c:strRef>
          </c:cat>
          <c:val>
            <c:numRef>
              <c:f>'Yhteenveto tuloksista, hiilijal'!$B$26:$C$26</c:f>
              <c:numCache>
                <c:formatCode>0.0</c:formatCode>
                <c:ptCount val="2"/>
                <c:pt idx="0">
                  <c:v>1.76</c:v>
                </c:pt>
                <c:pt idx="1">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1-7C12-4119-AB18-B98A5FF21D12}"/>
            </c:ext>
          </c:extLst>
        </c:ser>
        <c:ser>
          <c:idx val="2"/>
          <c:order val="2"/>
          <c:tx>
            <c:strRef>
              <c:f>'Yhteenveto tuloksista, hiilijal'!$A$27</c:f>
              <c:strCache>
                <c:ptCount val="1"/>
                <c:pt idx="0">
                  <c:v>Kuivaus kotona ja toimipisteellä</c:v>
                </c:pt>
              </c:strCache>
            </c:strRef>
          </c:tx>
          <c:spPr>
            <a:solidFill>
              <a:srgbClr val="FBBC04"/>
            </a:solidFill>
          </c:spPr>
          <c:invertIfNegative val="1"/>
          <c:cat>
            <c:strRef>
              <c:f>'Yhteenveto tuloksista, hiilijal'!$B$24:$C$24</c:f>
              <c:strCache>
                <c:ptCount val="2"/>
                <c:pt idx="0">
                  <c:v>Nykytila (kg CO₂e/a)</c:v>
                </c:pt>
                <c:pt idx="1">
                  <c:v>Palvelu (kg CO₂e/a)</c:v>
                </c:pt>
              </c:strCache>
            </c:strRef>
          </c:cat>
          <c:val>
            <c:numRef>
              <c:f>'Yhteenveto tuloksista, hiilijal'!$B$27:$C$27</c:f>
              <c:numCache>
                <c:formatCode>0.0</c:formatCode>
                <c:ptCount val="2"/>
                <c:pt idx="0">
                  <c:v>11.36</c:v>
                </c:pt>
                <c:pt idx="1">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2-7C12-4119-AB18-B98A5FF21D12}"/>
            </c:ext>
          </c:extLst>
        </c:ser>
        <c:ser>
          <c:idx val="3"/>
          <c:order val="3"/>
          <c:tx>
            <c:strRef>
              <c:f>'Yhteenveto tuloksista, hiilijal'!$A$28</c:f>
              <c:strCache>
                <c:ptCount val="1"/>
                <c:pt idx="0">
                  <c:v>Pesu ja kuivaus pesulassa, sähkö</c:v>
                </c:pt>
              </c:strCache>
            </c:strRef>
          </c:tx>
          <c:spPr>
            <a:solidFill>
              <a:srgbClr val="34A853"/>
            </a:solidFill>
          </c:spPr>
          <c:invertIfNegative val="1"/>
          <c:cat>
            <c:strRef>
              <c:f>'Yhteenveto tuloksista, hiilijal'!$B$24:$C$24</c:f>
              <c:strCache>
                <c:ptCount val="2"/>
                <c:pt idx="0">
                  <c:v>Nykytila (kg CO₂e/a)</c:v>
                </c:pt>
                <c:pt idx="1">
                  <c:v>Palvelu (kg CO₂e/a)</c:v>
                </c:pt>
              </c:strCache>
            </c:strRef>
          </c:cat>
          <c:val>
            <c:numRef>
              <c:f>'Yhteenveto tuloksista, hiilijal'!$B$28:$C$28</c:f>
              <c:numCache>
                <c:formatCode>0.0</c:formatCode>
                <c:ptCount val="2"/>
                <c:pt idx="0">
                  <c:v>0</c:v>
                </c:pt>
                <c:pt idx="1">
                  <c:v>4.12</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3-7C12-4119-AB18-B98A5FF21D12}"/>
            </c:ext>
          </c:extLst>
        </c:ser>
        <c:ser>
          <c:idx val="4"/>
          <c:order val="4"/>
          <c:tx>
            <c:strRef>
              <c:f>'Yhteenveto tuloksista, hiilijal'!$A$29</c:f>
              <c:strCache>
                <c:ptCount val="1"/>
                <c:pt idx="0">
                  <c:v>Kuivaus pesulassa, kaasu</c:v>
                </c:pt>
              </c:strCache>
            </c:strRef>
          </c:tx>
          <c:spPr>
            <a:solidFill>
              <a:srgbClr val="FF6D01"/>
            </a:solidFill>
          </c:spPr>
          <c:invertIfNegative val="1"/>
          <c:cat>
            <c:strRef>
              <c:f>'Yhteenveto tuloksista, hiilijal'!$B$24:$C$24</c:f>
              <c:strCache>
                <c:ptCount val="2"/>
                <c:pt idx="0">
                  <c:v>Nykytila (kg CO₂e/a)</c:v>
                </c:pt>
                <c:pt idx="1">
                  <c:v>Palvelu (kg CO₂e/a)</c:v>
                </c:pt>
              </c:strCache>
            </c:strRef>
          </c:cat>
          <c:val>
            <c:numRef>
              <c:f>'Yhteenveto tuloksista, hiilijal'!$B$29:$C$29</c:f>
              <c:numCache>
                <c:formatCode>0.0</c:formatCode>
                <c:ptCount val="2"/>
                <c:pt idx="0">
                  <c:v>0</c:v>
                </c:pt>
                <c:pt idx="1">
                  <c:v>25.36</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4-7C12-4119-AB18-B98A5FF21D12}"/>
            </c:ext>
          </c:extLst>
        </c:ser>
        <c:dLbls>
          <c:showLegendKey val="0"/>
          <c:showVal val="0"/>
          <c:showCatName val="0"/>
          <c:showSerName val="0"/>
          <c:showPercent val="0"/>
          <c:showBubbleSize val="0"/>
        </c:dLbls>
        <c:gapWidth val="150"/>
        <c:overlap val="100"/>
        <c:axId val="276905289"/>
        <c:axId val="1614442907"/>
      </c:barChart>
      <c:catAx>
        <c:axId val="276905289"/>
        <c:scaling>
          <c:orientation val="minMax"/>
        </c:scaling>
        <c:delete val="0"/>
        <c:axPos val="b"/>
        <c:title>
          <c:tx>
            <c:rich>
              <a:bodyPr/>
              <a:lstStyle/>
              <a:p>
                <a:pPr lvl="0">
                  <a:defRPr b="0">
                    <a:solidFill>
                      <a:srgbClr val="000000"/>
                    </a:solidFill>
                    <a:latin typeface="+mn-lt"/>
                  </a:defRPr>
                </a:pPr>
                <a:endParaRPr lang="fi-FI"/>
              </a:p>
            </c:rich>
          </c:tx>
          <c:layout>
            <c:manualLayout>
              <c:xMode val="edge"/>
              <c:yMode val="edge"/>
              <c:x val="7.206358506944438E-2"/>
              <c:y val="0.91848021582733819"/>
            </c:manualLayout>
          </c:layout>
          <c:overlay val="0"/>
        </c:title>
        <c:numFmt formatCode="General" sourceLinked="1"/>
        <c:majorTickMark val="none"/>
        <c:minorTickMark val="none"/>
        <c:tickLblPos val="nextTo"/>
        <c:txPr>
          <a:bodyPr/>
          <a:lstStyle/>
          <a:p>
            <a:pPr lvl="0">
              <a:defRPr b="0">
                <a:solidFill>
                  <a:srgbClr val="000000"/>
                </a:solidFill>
                <a:latin typeface="+mn-lt"/>
              </a:defRPr>
            </a:pPr>
            <a:endParaRPr lang="fi-FI"/>
          </a:p>
        </c:txPr>
        <c:crossAx val="1614442907"/>
        <c:crosses val="autoZero"/>
        <c:auto val="1"/>
        <c:lblAlgn val="ctr"/>
        <c:lblOffset val="100"/>
        <c:noMultiLvlLbl val="1"/>
      </c:catAx>
      <c:valAx>
        <c:axId val="1614442907"/>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fi-FI"/>
              </a:p>
            </c:rich>
          </c:tx>
          <c:overlay val="0"/>
        </c:title>
        <c:numFmt formatCode="0.0" sourceLinked="1"/>
        <c:majorTickMark val="none"/>
        <c:minorTickMark val="none"/>
        <c:tickLblPos val="nextTo"/>
        <c:spPr>
          <a:ln/>
        </c:spPr>
        <c:txPr>
          <a:bodyPr/>
          <a:lstStyle/>
          <a:p>
            <a:pPr lvl="0">
              <a:defRPr b="0">
                <a:solidFill>
                  <a:srgbClr val="000000"/>
                </a:solidFill>
                <a:latin typeface="+mn-lt"/>
              </a:defRPr>
            </a:pPr>
            <a:endParaRPr lang="fi-FI"/>
          </a:p>
        </c:txPr>
        <c:crossAx val="276905289"/>
        <c:crosses val="autoZero"/>
        <c:crossBetween val="between"/>
      </c:valAx>
    </c:plotArea>
    <c:legend>
      <c:legendPos val="r"/>
      <c:overlay val="0"/>
      <c:txPr>
        <a:bodyPr/>
        <a:lstStyle/>
        <a:p>
          <a:pPr lvl="0">
            <a:defRPr b="0">
              <a:solidFill>
                <a:srgbClr val="1A1A1A"/>
              </a:solidFill>
              <a:latin typeface="+mn-lt"/>
            </a:defRPr>
          </a:pPr>
          <a:endParaRPr lang="fi-FI"/>
        </a:p>
      </c:txPr>
    </c:legend>
    <c:plotVisOnly val="1"/>
    <c:dispBlanksAs val="zero"/>
    <c:showDLblsOverMax val="1"/>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1"/>
  <c:style val="2"/>
  <c:chart>
    <c:autoTitleDeleted val="1"/>
    <c:plotArea>
      <c:layout/>
      <c:barChart>
        <c:barDir val="col"/>
        <c:grouping val="stacked"/>
        <c:varyColors val="1"/>
        <c:ser>
          <c:idx val="0"/>
          <c:order val="0"/>
          <c:tx>
            <c:strRef>
              <c:f>'Yhteenveto raportointiin'!$B$41</c:f>
              <c:strCache>
                <c:ptCount val="1"/>
                <c:pt idx="0">
                  <c:v>Hankintahinta / pesuväli</c:v>
                </c:pt>
              </c:strCache>
            </c:strRef>
          </c:tx>
          <c:spPr>
            <a:solidFill>
              <a:srgbClr val="4285F4"/>
            </a:solidFill>
          </c:spPr>
          <c:invertIfNegative val="1"/>
          <c:cat>
            <c:strRef>
              <c:f>'Yhteenveto raportointiin'!$A$42:$A$54</c:f>
              <c:strCache>
                <c:ptCount val="13"/>
                <c:pt idx="0">
                  <c:v>Toimija 1 Talvivaate 1</c:v>
                </c:pt>
                <c:pt idx="1">
                  <c:v>Toimija 1 Talvivaate 2</c:v>
                </c:pt>
                <c:pt idx="2">
                  <c:v>Toimija 2</c:v>
                </c:pt>
                <c:pt idx="3">
                  <c:v>Toimija 2 vaate 1</c:v>
                </c:pt>
                <c:pt idx="4">
                  <c:v>Toimija 2 vaate 2</c:v>
                </c:pt>
                <c:pt idx="5">
                  <c:v>Toimija 2 vaate 3</c:v>
                </c:pt>
                <c:pt idx="6">
                  <c:v>Toimija 2 vaate 4</c:v>
                </c:pt>
                <c:pt idx="7">
                  <c:v>Toimija 2 vaate 5</c:v>
                </c:pt>
                <c:pt idx="8">
                  <c:v>Toimija 3</c:v>
                </c:pt>
                <c:pt idx="9">
                  <c:v>Toimija 3 vaate 1</c:v>
                </c:pt>
                <c:pt idx="10">
                  <c:v>Toimija 3 vaate 2</c:v>
                </c:pt>
                <c:pt idx="11">
                  <c:v>Toimija 3 vaate 3</c:v>
                </c:pt>
                <c:pt idx="12">
                  <c:v>Toimija 3 vaate 4</c:v>
                </c:pt>
              </c:strCache>
            </c:strRef>
          </c:cat>
          <c:val>
            <c:numRef>
              <c:f>'Yhteenveto raportointiin'!$B$42:$B$54</c:f>
              <c:numCache>
                <c:formatCode>#\ ##0.00\ [$€-1]</c:formatCode>
                <c:ptCount val="13"/>
                <c:pt idx="0">
                  <c:v>6.5664818115798496E-2</c:v>
                </c:pt>
                <c:pt idx="1">
                  <c:v>0.13132963623159699</c:v>
                </c:pt>
                <c:pt idx="2" formatCode="General">
                  <c:v>0</c:v>
                </c:pt>
                <c:pt idx="3">
                  <c:v>9.8946986201888139E-3</c:v>
                </c:pt>
                <c:pt idx="4">
                  <c:v>1.6491164366981359E-3</c:v>
                </c:pt>
                <c:pt idx="5">
                  <c:v>3.2982328733962719E-3</c:v>
                </c:pt>
                <c:pt idx="6">
                  <c:v>1.3192931493585087E-2</c:v>
                </c:pt>
                <c:pt idx="7">
                  <c:v>1.3192931493585087E-2</c:v>
                </c:pt>
                <c:pt idx="8" formatCode="General">
                  <c:v>0</c:v>
                </c:pt>
                <c:pt idx="9">
                  <c:v>1.5831517792302106E-2</c:v>
                </c:pt>
                <c:pt idx="10">
                  <c:v>1.5831517792302106E-2</c:v>
                </c:pt>
                <c:pt idx="11">
                  <c:v>1.5831517792302106E-2</c:v>
                </c:pt>
                <c:pt idx="12">
                  <c:v>1.5831517792302106E-2</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0-C98D-4989-98CA-9AD0A33B2B91}"/>
            </c:ext>
          </c:extLst>
        </c:ser>
        <c:ser>
          <c:idx val="1"/>
          <c:order val="1"/>
          <c:tx>
            <c:strRef>
              <c:f>'Yhteenveto raportointiin'!$C$41</c:f>
              <c:strCache>
                <c:ptCount val="1"/>
                <c:pt idx="0">
                  <c:v>Pesukoneen hinta / pesu</c:v>
                </c:pt>
              </c:strCache>
            </c:strRef>
          </c:tx>
          <c:spPr>
            <a:solidFill>
              <a:srgbClr val="EA4335"/>
            </a:solidFill>
          </c:spPr>
          <c:invertIfNegative val="1"/>
          <c:cat>
            <c:strRef>
              <c:f>'Yhteenveto raportointiin'!$A$42:$A$54</c:f>
              <c:strCache>
                <c:ptCount val="13"/>
                <c:pt idx="0">
                  <c:v>Toimija 1 Talvivaate 1</c:v>
                </c:pt>
                <c:pt idx="1">
                  <c:v>Toimija 1 Talvivaate 2</c:v>
                </c:pt>
                <c:pt idx="2">
                  <c:v>Toimija 2</c:v>
                </c:pt>
                <c:pt idx="3">
                  <c:v>Toimija 2 vaate 1</c:v>
                </c:pt>
                <c:pt idx="4">
                  <c:v>Toimija 2 vaate 2</c:v>
                </c:pt>
                <c:pt idx="5">
                  <c:v>Toimija 2 vaate 3</c:v>
                </c:pt>
                <c:pt idx="6">
                  <c:v>Toimija 2 vaate 4</c:v>
                </c:pt>
                <c:pt idx="7">
                  <c:v>Toimija 2 vaate 5</c:v>
                </c:pt>
                <c:pt idx="8">
                  <c:v>Toimija 3</c:v>
                </c:pt>
                <c:pt idx="9">
                  <c:v>Toimija 3 vaate 1</c:v>
                </c:pt>
                <c:pt idx="10">
                  <c:v>Toimija 3 vaate 2</c:v>
                </c:pt>
                <c:pt idx="11">
                  <c:v>Toimija 3 vaate 3</c:v>
                </c:pt>
                <c:pt idx="12">
                  <c:v>Toimija 3 vaate 4</c:v>
                </c:pt>
              </c:strCache>
            </c:strRef>
          </c:cat>
          <c:val>
            <c:numRef>
              <c:f>'Yhteenveto raportointiin'!$C$42:$C$54</c:f>
              <c:numCache>
                <c:formatCode>#\ ##0.00\ [$€-1]</c:formatCode>
                <c:ptCount val="13"/>
                <c:pt idx="0">
                  <c:v>3.2404735799334443E-2</c:v>
                </c:pt>
                <c:pt idx="1">
                  <c:v>3.2404735799334443E-2</c:v>
                </c:pt>
                <c:pt idx="2" formatCode="General">
                  <c:v>0</c:v>
                </c:pt>
                <c:pt idx="3">
                  <c:v>3.2404735799334443E-2</c:v>
                </c:pt>
                <c:pt idx="4">
                  <c:v>3.2404735799334443E-2</c:v>
                </c:pt>
                <c:pt idx="5">
                  <c:v>3.2404735799334443E-2</c:v>
                </c:pt>
                <c:pt idx="6">
                  <c:v>3.2404735799334443E-2</c:v>
                </c:pt>
                <c:pt idx="7">
                  <c:v>3.2404735799334443E-2</c:v>
                </c:pt>
                <c:pt idx="8" formatCode="General">
                  <c:v>0</c:v>
                </c:pt>
                <c:pt idx="9">
                  <c:v>3.2404735799334443E-2</c:v>
                </c:pt>
                <c:pt idx="10">
                  <c:v>3.2404735799334443E-2</c:v>
                </c:pt>
                <c:pt idx="11">
                  <c:v>3.2404735799334443E-2</c:v>
                </c:pt>
                <c:pt idx="12">
                  <c:v>3.2404735799334443E-2</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1-C98D-4989-98CA-9AD0A33B2B91}"/>
            </c:ext>
          </c:extLst>
        </c:ser>
        <c:ser>
          <c:idx val="2"/>
          <c:order val="2"/>
          <c:tx>
            <c:strRef>
              <c:f>'Yhteenveto raportointiin'!$D$41</c:f>
              <c:strCache>
                <c:ptCount val="1"/>
                <c:pt idx="0">
                  <c:v>Pesukoneen sähkö / pesu</c:v>
                </c:pt>
              </c:strCache>
            </c:strRef>
          </c:tx>
          <c:spPr>
            <a:solidFill>
              <a:srgbClr val="FBBC04"/>
            </a:solidFill>
          </c:spPr>
          <c:invertIfNegative val="1"/>
          <c:cat>
            <c:strRef>
              <c:f>'Yhteenveto raportointiin'!$A$42:$A$54</c:f>
              <c:strCache>
                <c:ptCount val="13"/>
                <c:pt idx="0">
                  <c:v>Toimija 1 Talvivaate 1</c:v>
                </c:pt>
                <c:pt idx="1">
                  <c:v>Toimija 1 Talvivaate 2</c:v>
                </c:pt>
                <c:pt idx="2">
                  <c:v>Toimija 2</c:v>
                </c:pt>
                <c:pt idx="3">
                  <c:v>Toimija 2 vaate 1</c:v>
                </c:pt>
                <c:pt idx="4">
                  <c:v>Toimija 2 vaate 2</c:v>
                </c:pt>
                <c:pt idx="5">
                  <c:v>Toimija 2 vaate 3</c:v>
                </c:pt>
                <c:pt idx="6">
                  <c:v>Toimija 2 vaate 4</c:v>
                </c:pt>
                <c:pt idx="7">
                  <c:v>Toimija 2 vaate 5</c:v>
                </c:pt>
                <c:pt idx="8">
                  <c:v>Toimija 3</c:v>
                </c:pt>
                <c:pt idx="9">
                  <c:v>Toimija 3 vaate 1</c:v>
                </c:pt>
                <c:pt idx="10">
                  <c:v>Toimija 3 vaate 2</c:v>
                </c:pt>
                <c:pt idx="11">
                  <c:v>Toimija 3 vaate 3</c:v>
                </c:pt>
                <c:pt idx="12">
                  <c:v>Toimija 3 vaate 4</c:v>
                </c:pt>
              </c:strCache>
            </c:strRef>
          </c:cat>
          <c:val>
            <c:numRef>
              <c:f>'Yhteenveto raportointiin'!$D$42:$D$54</c:f>
              <c:numCache>
                <c:formatCode>#\ ##0.00\ [$€-1]</c:formatCode>
                <c:ptCount val="13"/>
                <c:pt idx="0">
                  <c:v>6.9071891774891781E-3</c:v>
                </c:pt>
                <c:pt idx="1">
                  <c:v>6.9071891774891781E-3</c:v>
                </c:pt>
                <c:pt idx="2" formatCode="General">
                  <c:v>0</c:v>
                </c:pt>
                <c:pt idx="3">
                  <c:v>6.9071891774891781E-3</c:v>
                </c:pt>
                <c:pt idx="4">
                  <c:v>6.9071891774891781E-3</c:v>
                </c:pt>
                <c:pt idx="5">
                  <c:v>6.9071891774891781E-3</c:v>
                </c:pt>
                <c:pt idx="6">
                  <c:v>6.9071891774891781E-3</c:v>
                </c:pt>
                <c:pt idx="7">
                  <c:v>6.9071891774891781E-3</c:v>
                </c:pt>
                <c:pt idx="8" formatCode="General">
                  <c:v>0</c:v>
                </c:pt>
                <c:pt idx="9">
                  <c:v>6.9071891774891781E-3</c:v>
                </c:pt>
                <c:pt idx="10">
                  <c:v>6.9071891774891781E-3</c:v>
                </c:pt>
                <c:pt idx="11">
                  <c:v>6.9071891774891781E-3</c:v>
                </c:pt>
                <c:pt idx="12">
                  <c:v>6.9071891774891781E-3</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2-C98D-4989-98CA-9AD0A33B2B91}"/>
            </c:ext>
          </c:extLst>
        </c:ser>
        <c:ser>
          <c:idx val="3"/>
          <c:order val="3"/>
          <c:tx>
            <c:strRef>
              <c:f>'Yhteenveto raportointiin'!$E$41</c:f>
              <c:strCache>
                <c:ptCount val="1"/>
                <c:pt idx="0">
                  <c:v>Pesuveden käyttömaksu</c:v>
                </c:pt>
              </c:strCache>
            </c:strRef>
          </c:tx>
          <c:spPr>
            <a:solidFill>
              <a:srgbClr val="34A853"/>
            </a:solidFill>
          </c:spPr>
          <c:invertIfNegative val="1"/>
          <c:cat>
            <c:strRef>
              <c:f>'Yhteenveto raportointiin'!$A$42:$A$54</c:f>
              <c:strCache>
                <c:ptCount val="13"/>
                <c:pt idx="0">
                  <c:v>Toimija 1 Talvivaate 1</c:v>
                </c:pt>
                <c:pt idx="1">
                  <c:v>Toimija 1 Talvivaate 2</c:v>
                </c:pt>
                <c:pt idx="2">
                  <c:v>Toimija 2</c:v>
                </c:pt>
                <c:pt idx="3">
                  <c:v>Toimija 2 vaate 1</c:v>
                </c:pt>
                <c:pt idx="4">
                  <c:v>Toimija 2 vaate 2</c:v>
                </c:pt>
                <c:pt idx="5">
                  <c:v>Toimija 2 vaate 3</c:v>
                </c:pt>
                <c:pt idx="6">
                  <c:v>Toimija 2 vaate 4</c:v>
                </c:pt>
                <c:pt idx="7">
                  <c:v>Toimija 2 vaate 5</c:v>
                </c:pt>
                <c:pt idx="8">
                  <c:v>Toimija 3</c:v>
                </c:pt>
                <c:pt idx="9">
                  <c:v>Toimija 3 vaate 1</c:v>
                </c:pt>
                <c:pt idx="10">
                  <c:v>Toimija 3 vaate 2</c:v>
                </c:pt>
                <c:pt idx="11">
                  <c:v>Toimija 3 vaate 3</c:v>
                </c:pt>
                <c:pt idx="12">
                  <c:v>Toimija 3 vaate 4</c:v>
                </c:pt>
              </c:strCache>
            </c:strRef>
          </c:cat>
          <c:val>
            <c:numRef>
              <c:f>'Yhteenveto raportointiin'!$E$42:$E$54</c:f>
              <c:numCache>
                <c:formatCode>#\ ##0.00\ [$€-1]</c:formatCode>
                <c:ptCount val="13"/>
                <c:pt idx="0">
                  <c:v>8.8267683333333336E-3</c:v>
                </c:pt>
                <c:pt idx="1">
                  <c:v>8.8267683333333336E-3</c:v>
                </c:pt>
                <c:pt idx="2" formatCode="General">
                  <c:v>0</c:v>
                </c:pt>
                <c:pt idx="3">
                  <c:v>8.8267683333333336E-3</c:v>
                </c:pt>
                <c:pt idx="4">
                  <c:v>8.8267683333333336E-3</c:v>
                </c:pt>
                <c:pt idx="5">
                  <c:v>8.8267683333333336E-3</c:v>
                </c:pt>
                <c:pt idx="6">
                  <c:v>8.8267683333333336E-3</c:v>
                </c:pt>
                <c:pt idx="7">
                  <c:v>8.8267683333333336E-3</c:v>
                </c:pt>
                <c:pt idx="8" formatCode="General">
                  <c:v>0</c:v>
                </c:pt>
                <c:pt idx="9">
                  <c:v>8.8267683333333336E-3</c:v>
                </c:pt>
                <c:pt idx="10">
                  <c:v>8.8267683333333336E-3</c:v>
                </c:pt>
                <c:pt idx="11">
                  <c:v>8.8267683333333336E-3</c:v>
                </c:pt>
                <c:pt idx="12">
                  <c:v>8.8267683333333336E-3</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3-C98D-4989-98CA-9AD0A33B2B91}"/>
            </c:ext>
          </c:extLst>
        </c:ser>
        <c:ser>
          <c:idx val="4"/>
          <c:order val="4"/>
          <c:tx>
            <c:strRef>
              <c:f>'Yhteenveto raportointiin'!$F$41</c:f>
              <c:strCache>
                <c:ptCount val="1"/>
                <c:pt idx="0">
                  <c:v>Jäteveden käyttömaksu</c:v>
                </c:pt>
              </c:strCache>
            </c:strRef>
          </c:tx>
          <c:spPr>
            <a:solidFill>
              <a:srgbClr val="FF6D01"/>
            </a:solidFill>
          </c:spPr>
          <c:invertIfNegative val="1"/>
          <c:cat>
            <c:strRef>
              <c:f>'Yhteenveto raportointiin'!$A$42:$A$54</c:f>
              <c:strCache>
                <c:ptCount val="13"/>
                <c:pt idx="0">
                  <c:v>Toimija 1 Talvivaate 1</c:v>
                </c:pt>
                <c:pt idx="1">
                  <c:v>Toimija 1 Talvivaate 2</c:v>
                </c:pt>
                <c:pt idx="2">
                  <c:v>Toimija 2</c:v>
                </c:pt>
                <c:pt idx="3">
                  <c:v>Toimija 2 vaate 1</c:v>
                </c:pt>
                <c:pt idx="4">
                  <c:v>Toimija 2 vaate 2</c:v>
                </c:pt>
                <c:pt idx="5">
                  <c:v>Toimija 2 vaate 3</c:v>
                </c:pt>
                <c:pt idx="6">
                  <c:v>Toimija 2 vaate 4</c:v>
                </c:pt>
                <c:pt idx="7">
                  <c:v>Toimija 2 vaate 5</c:v>
                </c:pt>
                <c:pt idx="8">
                  <c:v>Toimija 3</c:v>
                </c:pt>
                <c:pt idx="9">
                  <c:v>Toimija 3 vaate 1</c:v>
                </c:pt>
                <c:pt idx="10">
                  <c:v>Toimija 3 vaate 2</c:v>
                </c:pt>
                <c:pt idx="11">
                  <c:v>Toimija 3 vaate 3</c:v>
                </c:pt>
                <c:pt idx="12">
                  <c:v>Toimija 3 vaate 4</c:v>
                </c:pt>
              </c:strCache>
            </c:strRef>
          </c:cat>
          <c:val>
            <c:numRef>
              <c:f>'Yhteenveto raportointiin'!$F$42:$F$54</c:f>
              <c:numCache>
                <c:formatCode>#\ ##0.00\ [$€-1]</c:formatCode>
                <c:ptCount val="13"/>
                <c:pt idx="0">
                  <c:v>1.0458607857142857E-2</c:v>
                </c:pt>
                <c:pt idx="1">
                  <c:v>1.0458607857142857E-2</c:v>
                </c:pt>
                <c:pt idx="2" formatCode="General">
                  <c:v>0</c:v>
                </c:pt>
                <c:pt idx="3">
                  <c:v>1.0458607857142857E-2</c:v>
                </c:pt>
                <c:pt idx="4">
                  <c:v>1.0458607857142857E-2</c:v>
                </c:pt>
                <c:pt idx="5">
                  <c:v>1.0458607857142857E-2</c:v>
                </c:pt>
                <c:pt idx="6">
                  <c:v>1.0458607857142857E-2</c:v>
                </c:pt>
                <c:pt idx="7">
                  <c:v>1.0458607857142857E-2</c:v>
                </c:pt>
                <c:pt idx="8" formatCode="General">
                  <c:v>0</c:v>
                </c:pt>
                <c:pt idx="9">
                  <c:v>1.0458607857142857E-2</c:v>
                </c:pt>
                <c:pt idx="10">
                  <c:v>1.0458607857142857E-2</c:v>
                </c:pt>
                <c:pt idx="11">
                  <c:v>1.0458607857142857E-2</c:v>
                </c:pt>
                <c:pt idx="12">
                  <c:v>1.0458607857142857E-2</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4-C98D-4989-98CA-9AD0A33B2B91}"/>
            </c:ext>
          </c:extLst>
        </c:ser>
        <c:ser>
          <c:idx val="5"/>
          <c:order val="5"/>
          <c:tx>
            <c:strRef>
              <c:f>'Yhteenveto raportointiin'!$G$41</c:f>
              <c:strCache>
                <c:ptCount val="1"/>
                <c:pt idx="0">
                  <c:v>Veden perusmaksu</c:v>
                </c:pt>
              </c:strCache>
            </c:strRef>
          </c:tx>
          <c:spPr>
            <a:solidFill>
              <a:srgbClr val="46BDC6"/>
            </a:solidFill>
          </c:spPr>
          <c:invertIfNegative val="1"/>
          <c:cat>
            <c:strRef>
              <c:f>'Yhteenveto raportointiin'!$A$42:$A$54</c:f>
              <c:strCache>
                <c:ptCount val="13"/>
                <c:pt idx="0">
                  <c:v>Toimija 1 Talvivaate 1</c:v>
                </c:pt>
                <c:pt idx="1">
                  <c:v>Toimija 1 Talvivaate 2</c:v>
                </c:pt>
                <c:pt idx="2">
                  <c:v>Toimija 2</c:v>
                </c:pt>
                <c:pt idx="3">
                  <c:v>Toimija 2 vaate 1</c:v>
                </c:pt>
                <c:pt idx="4">
                  <c:v>Toimija 2 vaate 2</c:v>
                </c:pt>
                <c:pt idx="5">
                  <c:v>Toimija 2 vaate 3</c:v>
                </c:pt>
                <c:pt idx="6">
                  <c:v>Toimija 2 vaate 4</c:v>
                </c:pt>
                <c:pt idx="7">
                  <c:v>Toimija 2 vaate 5</c:v>
                </c:pt>
                <c:pt idx="8">
                  <c:v>Toimija 3</c:v>
                </c:pt>
                <c:pt idx="9">
                  <c:v>Toimija 3 vaate 1</c:v>
                </c:pt>
                <c:pt idx="10">
                  <c:v>Toimija 3 vaate 2</c:v>
                </c:pt>
                <c:pt idx="11">
                  <c:v>Toimija 3 vaate 3</c:v>
                </c:pt>
                <c:pt idx="12">
                  <c:v>Toimija 3 vaate 4</c:v>
                </c:pt>
              </c:strCache>
            </c:strRef>
          </c:cat>
          <c:val>
            <c:numRef>
              <c:f>'Yhteenveto raportointiin'!$G$42:$G$54</c:f>
              <c:numCache>
                <c:formatCode>#\ ##0.00\ [$€-1]</c:formatCode>
                <c:ptCount val="13"/>
                <c:pt idx="0">
                  <c:v>7.4174523809523811E-4</c:v>
                </c:pt>
                <c:pt idx="1">
                  <c:v>7.4174523809523811E-4</c:v>
                </c:pt>
                <c:pt idx="2" formatCode="General">
                  <c:v>0</c:v>
                </c:pt>
                <c:pt idx="3">
                  <c:v>7.4174523809523811E-4</c:v>
                </c:pt>
                <c:pt idx="4">
                  <c:v>7.4174523809523811E-4</c:v>
                </c:pt>
                <c:pt idx="5">
                  <c:v>7.4174523809523811E-4</c:v>
                </c:pt>
                <c:pt idx="6">
                  <c:v>7.4174523809523811E-4</c:v>
                </c:pt>
                <c:pt idx="7">
                  <c:v>7.4174523809523811E-4</c:v>
                </c:pt>
                <c:pt idx="8" formatCode="General">
                  <c:v>0</c:v>
                </c:pt>
                <c:pt idx="9">
                  <c:v>7.4174523809523811E-4</c:v>
                </c:pt>
                <c:pt idx="10">
                  <c:v>7.4174523809523811E-4</c:v>
                </c:pt>
                <c:pt idx="11">
                  <c:v>7.4174523809523811E-4</c:v>
                </c:pt>
                <c:pt idx="12">
                  <c:v>7.4174523809523811E-4</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5-C98D-4989-98CA-9AD0A33B2B91}"/>
            </c:ext>
          </c:extLst>
        </c:ser>
        <c:ser>
          <c:idx val="6"/>
          <c:order val="6"/>
          <c:tx>
            <c:strRef>
              <c:f>'Yhteenveto raportointiin'!$H$41</c:f>
              <c:strCache>
                <c:ptCount val="1"/>
                <c:pt idx="0">
                  <c:v>Kuivausrummun hinta / pesu</c:v>
                </c:pt>
              </c:strCache>
            </c:strRef>
          </c:tx>
          <c:spPr>
            <a:solidFill>
              <a:srgbClr val="D3E2FC"/>
            </a:solidFill>
          </c:spPr>
          <c:invertIfNegative val="1"/>
          <c:cat>
            <c:strRef>
              <c:f>'Yhteenveto raportointiin'!$A$42:$A$54</c:f>
              <c:strCache>
                <c:ptCount val="13"/>
                <c:pt idx="0">
                  <c:v>Toimija 1 Talvivaate 1</c:v>
                </c:pt>
                <c:pt idx="1">
                  <c:v>Toimija 1 Talvivaate 2</c:v>
                </c:pt>
                <c:pt idx="2">
                  <c:v>Toimija 2</c:v>
                </c:pt>
                <c:pt idx="3">
                  <c:v>Toimija 2 vaate 1</c:v>
                </c:pt>
                <c:pt idx="4">
                  <c:v>Toimija 2 vaate 2</c:v>
                </c:pt>
                <c:pt idx="5">
                  <c:v>Toimija 2 vaate 3</c:v>
                </c:pt>
                <c:pt idx="6">
                  <c:v>Toimija 2 vaate 4</c:v>
                </c:pt>
                <c:pt idx="7">
                  <c:v>Toimija 2 vaate 5</c:v>
                </c:pt>
                <c:pt idx="8">
                  <c:v>Toimija 3</c:v>
                </c:pt>
                <c:pt idx="9">
                  <c:v>Toimija 3 vaate 1</c:v>
                </c:pt>
                <c:pt idx="10">
                  <c:v>Toimija 3 vaate 2</c:v>
                </c:pt>
                <c:pt idx="11">
                  <c:v>Toimija 3 vaate 3</c:v>
                </c:pt>
                <c:pt idx="12">
                  <c:v>Toimija 3 vaate 4</c:v>
                </c:pt>
              </c:strCache>
            </c:strRef>
          </c:cat>
          <c:val>
            <c:numRef>
              <c:f>'Yhteenveto raportointiin'!$H$42:$H$54</c:f>
              <c:numCache>
                <c:formatCode>#\ ##0.00\ [$€-1]</c:formatCode>
                <c:ptCount val="13"/>
                <c:pt idx="0">
                  <c:v>0</c:v>
                </c:pt>
                <c:pt idx="1">
                  <c:v>0</c:v>
                </c:pt>
                <c:pt idx="3">
                  <c:v>0</c:v>
                </c:pt>
                <c:pt idx="4">
                  <c:v>0</c:v>
                </c:pt>
                <c:pt idx="5">
                  <c:v>0</c:v>
                </c:pt>
                <c:pt idx="6">
                  <c:v>0</c:v>
                </c:pt>
                <c:pt idx="7">
                  <c:v>0</c:v>
                </c:pt>
                <c:pt idx="9">
                  <c:v>0</c:v>
                </c:pt>
                <c:pt idx="10">
                  <c:v>0</c:v>
                </c:pt>
                <c:pt idx="11">
                  <c:v>0</c:v>
                </c:pt>
                <c:pt idx="12">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6-C98D-4989-98CA-9AD0A33B2B91}"/>
            </c:ext>
          </c:extLst>
        </c:ser>
        <c:ser>
          <c:idx val="7"/>
          <c:order val="7"/>
          <c:tx>
            <c:strRef>
              <c:f>'Yhteenveto raportointiin'!$I$41</c:f>
              <c:strCache>
                <c:ptCount val="1"/>
                <c:pt idx="0">
                  <c:v>Kuivausrummun sähkö</c:v>
                </c:pt>
              </c:strCache>
            </c:strRef>
          </c:tx>
          <c:spPr>
            <a:solidFill>
              <a:srgbClr val="F8C4C0"/>
            </a:solidFill>
          </c:spPr>
          <c:invertIfNegative val="1"/>
          <c:cat>
            <c:strRef>
              <c:f>'Yhteenveto raportointiin'!$A$42:$A$54</c:f>
              <c:strCache>
                <c:ptCount val="13"/>
                <c:pt idx="0">
                  <c:v>Toimija 1 Talvivaate 1</c:v>
                </c:pt>
                <c:pt idx="1">
                  <c:v>Toimija 1 Talvivaate 2</c:v>
                </c:pt>
                <c:pt idx="2">
                  <c:v>Toimija 2</c:v>
                </c:pt>
                <c:pt idx="3">
                  <c:v>Toimija 2 vaate 1</c:v>
                </c:pt>
                <c:pt idx="4">
                  <c:v>Toimija 2 vaate 2</c:v>
                </c:pt>
                <c:pt idx="5">
                  <c:v>Toimija 2 vaate 3</c:v>
                </c:pt>
                <c:pt idx="6">
                  <c:v>Toimija 2 vaate 4</c:v>
                </c:pt>
                <c:pt idx="7">
                  <c:v>Toimija 2 vaate 5</c:v>
                </c:pt>
                <c:pt idx="8">
                  <c:v>Toimija 3</c:v>
                </c:pt>
                <c:pt idx="9">
                  <c:v>Toimija 3 vaate 1</c:v>
                </c:pt>
                <c:pt idx="10">
                  <c:v>Toimija 3 vaate 2</c:v>
                </c:pt>
                <c:pt idx="11">
                  <c:v>Toimija 3 vaate 3</c:v>
                </c:pt>
                <c:pt idx="12">
                  <c:v>Toimija 3 vaate 4</c:v>
                </c:pt>
              </c:strCache>
            </c:strRef>
          </c:cat>
          <c:val>
            <c:numRef>
              <c:f>'Yhteenveto raportointiin'!$I$42:$I$54</c:f>
              <c:numCache>
                <c:formatCode>#\ ##0.00\ [$€-1]</c:formatCode>
                <c:ptCount val="13"/>
                <c:pt idx="0">
                  <c:v>0</c:v>
                </c:pt>
                <c:pt idx="1">
                  <c:v>0</c:v>
                </c:pt>
                <c:pt idx="3">
                  <c:v>0</c:v>
                </c:pt>
                <c:pt idx="4">
                  <c:v>0</c:v>
                </c:pt>
                <c:pt idx="5">
                  <c:v>0</c:v>
                </c:pt>
                <c:pt idx="6">
                  <c:v>0</c:v>
                </c:pt>
                <c:pt idx="7">
                  <c:v>0</c:v>
                </c:pt>
                <c:pt idx="9">
                  <c:v>0</c:v>
                </c:pt>
                <c:pt idx="10">
                  <c:v>0</c:v>
                </c:pt>
                <c:pt idx="11">
                  <c:v>0</c:v>
                </c:pt>
                <c:pt idx="12">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7-C98D-4989-98CA-9AD0A33B2B91}"/>
            </c:ext>
          </c:extLst>
        </c:ser>
        <c:ser>
          <c:idx val="8"/>
          <c:order val="8"/>
          <c:tx>
            <c:strRef>
              <c:f>'Yhteenveto raportointiin'!$J$41</c:f>
              <c:strCache>
                <c:ptCount val="1"/>
                <c:pt idx="0">
                  <c:v>Kuivauskaapin hinta / pesu</c:v>
                </c:pt>
              </c:strCache>
            </c:strRef>
          </c:tx>
          <c:spPr>
            <a:solidFill>
              <a:srgbClr val="FDE49B"/>
            </a:solidFill>
          </c:spPr>
          <c:invertIfNegative val="1"/>
          <c:cat>
            <c:strRef>
              <c:f>'Yhteenveto raportointiin'!$A$42:$A$54</c:f>
              <c:strCache>
                <c:ptCount val="13"/>
                <c:pt idx="0">
                  <c:v>Toimija 1 Talvivaate 1</c:v>
                </c:pt>
                <c:pt idx="1">
                  <c:v>Toimija 1 Talvivaate 2</c:v>
                </c:pt>
                <c:pt idx="2">
                  <c:v>Toimija 2</c:v>
                </c:pt>
                <c:pt idx="3">
                  <c:v>Toimija 2 vaate 1</c:v>
                </c:pt>
                <c:pt idx="4">
                  <c:v>Toimija 2 vaate 2</c:v>
                </c:pt>
                <c:pt idx="5">
                  <c:v>Toimija 2 vaate 3</c:v>
                </c:pt>
                <c:pt idx="6">
                  <c:v>Toimija 2 vaate 4</c:v>
                </c:pt>
                <c:pt idx="7">
                  <c:v>Toimija 2 vaate 5</c:v>
                </c:pt>
                <c:pt idx="8">
                  <c:v>Toimija 3</c:v>
                </c:pt>
                <c:pt idx="9">
                  <c:v>Toimija 3 vaate 1</c:v>
                </c:pt>
                <c:pt idx="10">
                  <c:v>Toimija 3 vaate 2</c:v>
                </c:pt>
                <c:pt idx="11">
                  <c:v>Toimija 3 vaate 3</c:v>
                </c:pt>
                <c:pt idx="12">
                  <c:v>Toimija 3 vaate 4</c:v>
                </c:pt>
              </c:strCache>
            </c:strRef>
          </c:cat>
          <c:val>
            <c:numRef>
              <c:f>'Yhteenveto raportointiin'!$J$42:$J$54</c:f>
              <c:numCache>
                <c:formatCode>#\ ##0.00\ [$€-1]</c:formatCode>
                <c:ptCount val="13"/>
                <c:pt idx="0">
                  <c:v>0.10634068773603655</c:v>
                </c:pt>
                <c:pt idx="1">
                  <c:v>0.10634068773603655</c:v>
                </c:pt>
                <c:pt idx="2" formatCode="General">
                  <c:v>0</c:v>
                </c:pt>
                <c:pt idx="3">
                  <c:v>0.10634068773603655</c:v>
                </c:pt>
                <c:pt idx="4">
                  <c:v>0.10634068773603655</c:v>
                </c:pt>
                <c:pt idx="5">
                  <c:v>0.10634068773603655</c:v>
                </c:pt>
                <c:pt idx="6">
                  <c:v>0.10634068773603655</c:v>
                </c:pt>
                <c:pt idx="7">
                  <c:v>0.10634068773603655</c:v>
                </c:pt>
                <c:pt idx="8" formatCode="General">
                  <c:v>0</c:v>
                </c:pt>
                <c:pt idx="9">
                  <c:v>0.10634068773603655</c:v>
                </c:pt>
                <c:pt idx="10">
                  <c:v>0.10634068773603655</c:v>
                </c:pt>
                <c:pt idx="11">
                  <c:v>0.10634068773603655</c:v>
                </c:pt>
                <c:pt idx="12">
                  <c:v>0.10634068773603655</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8-C98D-4989-98CA-9AD0A33B2B91}"/>
            </c:ext>
          </c:extLst>
        </c:ser>
        <c:ser>
          <c:idx val="9"/>
          <c:order val="9"/>
          <c:tx>
            <c:strRef>
              <c:f>'Yhteenveto raportointiin'!$K$41</c:f>
              <c:strCache>
                <c:ptCount val="1"/>
                <c:pt idx="0">
                  <c:v>Kuivauskaapin sähkö</c:v>
                </c:pt>
              </c:strCache>
            </c:strRef>
          </c:tx>
          <c:spPr>
            <a:solidFill>
              <a:srgbClr val="96DFAA"/>
            </a:solidFill>
          </c:spPr>
          <c:invertIfNegative val="1"/>
          <c:cat>
            <c:strRef>
              <c:f>'Yhteenveto raportointiin'!$A$42:$A$54</c:f>
              <c:strCache>
                <c:ptCount val="13"/>
                <c:pt idx="0">
                  <c:v>Toimija 1 Talvivaate 1</c:v>
                </c:pt>
                <c:pt idx="1">
                  <c:v>Toimija 1 Talvivaate 2</c:v>
                </c:pt>
                <c:pt idx="2">
                  <c:v>Toimija 2</c:v>
                </c:pt>
                <c:pt idx="3">
                  <c:v>Toimija 2 vaate 1</c:v>
                </c:pt>
                <c:pt idx="4">
                  <c:v>Toimija 2 vaate 2</c:v>
                </c:pt>
                <c:pt idx="5">
                  <c:v>Toimija 2 vaate 3</c:v>
                </c:pt>
                <c:pt idx="6">
                  <c:v>Toimija 2 vaate 4</c:v>
                </c:pt>
                <c:pt idx="7">
                  <c:v>Toimija 2 vaate 5</c:v>
                </c:pt>
                <c:pt idx="8">
                  <c:v>Toimija 3</c:v>
                </c:pt>
                <c:pt idx="9">
                  <c:v>Toimija 3 vaate 1</c:v>
                </c:pt>
                <c:pt idx="10">
                  <c:v>Toimija 3 vaate 2</c:v>
                </c:pt>
                <c:pt idx="11">
                  <c:v>Toimija 3 vaate 3</c:v>
                </c:pt>
                <c:pt idx="12">
                  <c:v>Toimija 3 vaate 4</c:v>
                </c:pt>
              </c:strCache>
            </c:strRef>
          </c:cat>
          <c:val>
            <c:numRef>
              <c:f>'Yhteenveto raportointiin'!$K$42:$K$54</c:f>
              <c:numCache>
                <c:formatCode>#\ ##0.00\ [$€-1]</c:formatCode>
                <c:ptCount val="13"/>
                <c:pt idx="0">
                  <c:v>4.4931999999999993E-2</c:v>
                </c:pt>
                <c:pt idx="1">
                  <c:v>4.4931999999999993E-2</c:v>
                </c:pt>
                <c:pt idx="2" formatCode="General">
                  <c:v>0</c:v>
                </c:pt>
                <c:pt idx="3">
                  <c:v>4.4931999999999993E-2</c:v>
                </c:pt>
                <c:pt idx="4">
                  <c:v>4.4931999999999993E-2</c:v>
                </c:pt>
                <c:pt idx="5">
                  <c:v>4.4931999999999993E-2</c:v>
                </c:pt>
                <c:pt idx="6">
                  <c:v>4.4931999999999993E-2</c:v>
                </c:pt>
                <c:pt idx="7">
                  <c:v>4.4931999999999993E-2</c:v>
                </c:pt>
                <c:pt idx="8" formatCode="General">
                  <c:v>0</c:v>
                </c:pt>
                <c:pt idx="9">
                  <c:v>4.4931999999999993E-2</c:v>
                </c:pt>
                <c:pt idx="10">
                  <c:v>4.4931999999999993E-2</c:v>
                </c:pt>
                <c:pt idx="11">
                  <c:v>4.4931999999999993E-2</c:v>
                </c:pt>
                <c:pt idx="12">
                  <c:v>4.4931999999999993E-2</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9-C98D-4989-98CA-9AD0A33B2B91}"/>
            </c:ext>
          </c:extLst>
        </c:ser>
        <c:ser>
          <c:idx val="10"/>
          <c:order val="10"/>
          <c:tx>
            <c:v>Epäoptimaalisen pesun kustannus</c:v>
          </c:tx>
          <c:spPr>
            <a:solidFill>
              <a:srgbClr val="FFC59A"/>
            </a:solidFill>
          </c:spPr>
          <c:invertIfNegative val="1"/>
          <c:cat>
            <c:strRef>
              <c:f>'Yhteenveto raportointiin'!$A$42:$A$54</c:f>
              <c:strCache>
                <c:ptCount val="13"/>
                <c:pt idx="0">
                  <c:v>Toimija 1 Talvivaate 1</c:v>
                </c:pt>
                <c:pt idx="1">
                  <c:v>Toimija 1 Talvivaate 2</c:v>
                </c:pt>
                <c:pt idx="2">
                  <c:v>Toimija 2</c:v>
                </c:pt>
                <c:pt idx="3">
                  <c:v>Toimija 2 vaate 1</c:v>
                </c:pt>
                <c:pt idx="4">
                  <c:v>Toimija 2 vaate 2</c:v>
                </c:pt>
                <c:pt idx="5">
                  <c:v>Toimija 2 vaate 3</c:v>
                </c:pt>
                <c:pt idx="6">
                  <c:v>Toimija 2 vaate 4</c:v>
                </c:pt>
                <c:pt idx="7">
                  <c:v>Toimija 2 vaate 5</c:v>
                </c:pt>
                <c:pt idx="8">
                  <c:v>Toimija 3</c:v>
                </c:pt>
                <c:pt idx="9">
                  <c:v>Toimija 3 vaate 1</c:v>
                </c:pt>
                <c:pt idx="10">
                  <c:v>Toimija 3 vaate 2</c:v>
                </c:pt>
                <c:pt idx="11">
                  <c:v>Toimija 3 vaate 3</c:v>
                </c:pt>
                <c:pt idx="12">
                  <c:v>Toimija 3 vaate 4</c:v>
                </c:pt>
              </c:strCache>
            </c:strRef>
          </c:cat>
          <c:val>
            <c:numRef>
              <c:f>'Yhteenveto raportointiin'!$L$42:$L$54</c:f>
              <c:numCache>
                <c:formatCode>#\ ##0.00\ [$€-1]</c:formatCode>
                <c:ptCount val="13"/>
                <c:pt idx="0">
                  <c:v>3.8999999999999998E-3</c:v>
                </c:pt>
                <c:pt idx="1">
                  <c:v>3.8999999999999998E-3</c:v>
                </c:pt>
                <c:pt idx="2" formatCode="General">
                  <c:v>0</c:v>
                </c:pt>
                <c:pt idx="3">
                  <c:v>3.8999999999999998E-3</c:v>
                </c:pt>
                <c:pt idx="4">
                  <c:v>3.8999999999999998E-3</c:v>
                </c:pt>
                <c:pt idx="5">
                  <c:v>3.8999999999999998E-3</c:v>
                </c:pt>
                <c:pt idx="6">
                  <c:v>3.8999999999999998E-3</c:v>
                </c:pt>
                <c:pt idx="7">
                  <c:v>3.8999999999999998E-3</c:v>
                </c:pt>
                <c:pt idx="8" formatCode="General">
                  <c:v>0</c:v>
                </c:pt>
                <c:pt idx="9">
                  <c:v>3.8999999999999998E-3</c:v>
                </c:pt>
                <c:pt idx="10">
                  <c:v>3.8999999999999998E-3</c:v>
                </c:pt>
                <c:pt idx="11">
                  <c:v>3.8999999999999998E-3</c:v>
                </c:pt>
                <c:pt idx="12">
                  <c:v>3.8999999999999998E-3</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A-C98D-4989-98CA-9AD0A33B2B91}"/>
            </c:ext>
          </c:extLst>
        </c:ser>
        <c:ser>
          <c:idx val="11"/>
          <c:order val="11"/>
          <c:tx>
            <c:strRef>
              <c:f>'Yhteenveto raportointiin'!$M$41</c:f>
              <c:strCache>
                <c:ptCount val="1"/>
                <c:pt idx="0">
                  <c:v>Pesuun ja kuivaukseen menevän työn hinta</c:v>
                </c:pt>
              </c:strCache>
            </c:strRef>
          </c:tx>
          <c:spPr>
            <a:solidFill>
              <a:srgbClr val="BBE7EA"/>
            </a:solidFill>
          </c:spPr>
          <c:invertIfNegative val="1"/>
          <c:cat>
            <c:strRef>
              <c:f>'Yhteenveto raportointiin'!$A$42:$A$54</c:f>
              <c:strCache>
                <c:ptCount val="13"/>
                <c:pt idx="0">
                  <c:v>Toimija 1 Talvivaate 1</c:v>
                </c:pt>
                <c:pt idx="1">
                  <c:v>Toimija 1 Talvivaate 2</c:v>
                </c:pt>
                <c:pt idx="2">
                  <c:v>Toimija 2</c:v>
                </c:pt>
                <c:pt idx="3">
                  <c:v>Toimija 2 vaate 1</c:v>
                </c:pt>
                <c:pt idx="4">
                  <c:v>Toimija 2 vaate 2</c:v>
                </c:pt>
                <c:pt idx="5">
                  <c:v>Toimija 2 vaate 3</c:v>
                </c:pt>
                <c:pt idx="6">
                  <c:v>Toimija 2 vaate 4</c:v>
                </c:pt>
                <c:pt idx="7">
                  <c:v>Toimija 2 vaate 5</c:v>
                </c:pt>
                <c:pt idx="8">
                  <c:v>Toimija 3</c:v>
                </c:pt>
                <c:pt idx="9">
                  <c:v>Toimija 3 vaate 1</c:v>
                </c:pt>
                <c:pt idx="10">
                  <c:v>Toimija 3 vaate 2</c:v>
                </c:pt>
                <c:pt idx="11">
                  <c:v>Toimija 3 vaate 3</c:v>
                </c:pt>
                <c:pt idx="12">
                  <c:v>Toimija 3 vaate 4</c:v>
                </c:pt>
              </c:strCache>
            </c:strRef>
          </c:cat>
          <c:val>
            <c:numRef>
              <c:f>'Yhteenveto raportointiin'!$M$42:$M$54</c:f>
              <c:numCache>
                <c:formatCode>#\ ##0.00\ [$€-1]</c:formatCode>
                <c:ptCount val="13"/>
                <c:pt idx="0">
                  <c:v>0.55604838709677418</c:v>
                </c:pt>
                <c:pt idx="1">
                  <c:v>0.55604838709677418</c:v>
                </c:pt>
                <c:pt idx="2" formatCode="General">
                  <c:v>0</c:v>
                </c:pt>
                <c:pt idx="3">
                  <c:v>0.55604838709677418</c:v>
                </c:pt>
                <c:pt idx="4">
                  <c:v>0.55604838709677418</c:v>
                </c:pt>
                <c:pt idx="5">
                  <c:v>0.55604838709677418</c:v>
                </c:pt>
                <c:pt idx="6">
                  <c:v>0.55604838709677418</c:v>
                </c:pt>
                <c:pt idx="7">
                  <c:v>0.55604838709677418</c:v>
                </c:pt>
                <c:pt idx="8" formatCode="General">
                  <c:v>0</c:v>
                </c:pt>
                <c:pt idx="9">
                  <c:v>0.55604838709677418</c:v>
                </c:pt>
                <c:pt idx="10">
                  <c:v>0.55604838709677418</c:v>
                </c:pt>
                <c:pt idx="11">
                  <c:v>0.55604838709677418</c:v>
                </c:pt>
                <c:pt idx="12">
                  <c:v>0.55604838709677418</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B-C98D-4989-98CA-9AD0A33B2B91}"/>
            </c:ext>
          </c:extLst>
        </c:ser>
        <c:ser>
          <c:idx val="12"/>
          <c:order val="12"/>
          <c:tx>
            <c:strRef>
              <c:f>'Yhteenveto raportointiin'!$N$41</c:f>
              <c:strCache>
                <c:ptCount val="1"/>
                <c:pt idx="0">
                  <c:v>Jätehuolto</c:v>
                </c:pt>
              </c:strCache>
            </c:strRef>
          </c:tx>
          <c:invertIfNegative val="1"/>
          <c:cat>
            <c:strRef>
              <c:f>'Yhteenveto raportointiin'!$A$42:$A$54</c:f>
              <c:strCache>
                <c:ptCount val="13"/>
                <c:pt idx="0">
                  <c:v>Toimija 1 Talvivaate 1</c:v>
                </c:pt>
                <c:pt idx="1">
                  <c:v>Toimija 1 Talvivaate 2</c:v>
                </c:pt>
                <c:pt idx="2">
                  <c:v>Toimija 2</c:v>
                </c:pt>
                <c:pt idx="3">
                  <c:v>Toimija 2 vaate 1</c:v>
                </c:pt>
                <c:pt idx="4">
                  <c:v>Toimija 2 vaate 2</c:v>
                </c:pt>
                <c:pt idx="5">
                  <c:v>Toimija 2 vaate 3</c:v>
                </c:pt>
                <c:pt idx="6">
                  <c:v>Toimija 2 vaate 4</c:v>
                </c:pt>
                <c:pt idx="7">
                  <c:v>Toimija 2 vaate 5</c:v>
                </c:pt>
                <c:pt idx="8">
                  <c:v>Toimija 3</c:v>
                </c:pt>
                <c:pt idx="9">
                  <c:v>Toimija 3 vaate 1</c:v>
                </c:pt>
                <c:pt idx="10">
                  <c:v>Toimija 3 vaate 2</c:v>
                </c:pt>
                <c:pt idx="11">
                  <c:v>Toimija 3 vaate 3</c:v>
                </c:pt>
                <c:pt idx="12">
                  <c:v>Toimija 3 vaate 4</c:v>
                </c:pt>
              </c:strCache>
            </c:strRef>
          </c:cat>
          <c:val>
            <c:numRef>
              <c:f>'Yhteenveto raportointiin'!$N$42:$N$54</c:f>
              <c:numCache>
                <c:formatCode>#\ ##0.00\ [$€-1]</c:formatCode>
                <c:ptCount val="13"/>
                <c:pt idx="0">
                  <c:v>0</c:v>
                </c:pt>
                <c:pt idx="1">
                  <c:v>0</c:v>
                </c:pt>
                <c:pt idx="3">
                  <c:v>0</c:v>
                </c:pt>
                <c:pt idx="4">
                  <c:v>0</c:v>
                </c:pt>
                <c:pt idx="5">
                  <c:v>0</c:v>
                </c:pt>
                <c:pt idx="6">
                  <c:v>0</c:v>
                </c:pt>
                <c:pt idx="7">
                  <c:v>0</c:v>
                </c:pt>
                <c:pt idx="9">
                  <c:v>0</c:v>
                </c:pt>
                <c:pt idx="10">
                  <c:v>0</c:v>
                </c:pt>
                <c:pt idx="11">
                  <c:v>0</c:v>
                </c:pt>
                <c:pt idx="12">
                  <c:v>0</c:v>
                </c:pt>
              </c:numCache>
            </c:numRef>
          </c:val>
          <c:extLst>
            <c:ext xmlns:c16="http://schemas.microsoft.com/office/drawing/2014/chart" uri="{C3380CC4-5D6E-409C-BE32-E72D297353CC}">
              <c16:uniqueId val="{0000000C-C98D-4989-98CA-9AD0A33B2B91}"/>
            </c:ext>
          </c:extLst>
        </c:ser>
        <c:ser>
          <c:idx val="13"/>
          <c:order val="13"/>
          <c:tx>
            <c:strRef>
              <c:f>'Yhteenveto raportointiin'!$O$41</c:f>
              <c:strCache>
                <c:ptCount val="1"/>
                <c:pt idx="0">
                  <c:v>Epäoptimaalisen pesun kustannus</c:v>
                </c:pt>
              </c:strCache>
            </c:strRef>
          </c:tx>
          <c:invertIfNegative val="1"/>
          <c:cat>
            <c:strRef>
              <c:f>'Yhteenveto raportointiin'!$A$42:$A$54</c:f>
              <c:strCache>
                <c:ptCount val="13"/>
                <c:pt idx="0">
                  <c:v>Toimija 1 Talvivaate 1</c:v>
                </c:pt>
                <c:pt idx="1">
                  <c:v>Toimija 1 Talvivaate 2</c:v>
                </c:pt>
                <c:pt idx="2">
                  <c:v>Toimija 2</c:v>
                </c:pt>
                <c:pt idx="3">
                  <c:v>Toimija 2 vaate 1</c:v>
                </c:pt>
                <c:pt idx="4">
                  <c:v>Toimija 2 vaate 2</c:v>
                </c:pt>
                <c:pt idx="5">
                  <c:v>Toimija 2 vaate 3</c:v>
                </c:pt>
                <c:pt idx="6">
                  <c:v>Toimija 2 vaate 4</c:v>
                </c:pt>
                <c:pt idx="7">
                  <c:v>Toimija 2 vaate 5</c:v>
                </c:pt>
                <c:pt idx="8">
                  <c:v>Toimija 3</c:v>
                </c:pt>
                <c:pt idx="9">
                  <c:v>Toimija 3 vaate 1</c:v>
                </c:pt>
                <c:pt idx="10">
                  <c:v>Toimija 3 vaate 2</c:v>
                </c:pt>
                <c:pt idx="11">
                  <c:v>Toimija 3 vaate 3</c:v>
                </c:pt>
                <c:pt idx="12">
                  <c:v>Toimija 3 vaate 4</c:v>
                </c:pt>
              </c:strCache>
            </c:strRef>
          </c:cat>
          <c:val>
            <c:numRef>
              <c:f>'Yhteenveto raportointiin'!$O$42:$O$54</c:f>
              <c:numCache>
                <c:formatCode>#\ ##0.00\ [$€-1]</c:formatCode>
                <c:ptCount val="13"/>
                <c:pt idx="0">
                  <c:v>0.60848024432467995</c:v>
                </c:pt>
                <c:pt idx="1">
                  <c:v>0.60848024432467995</c:v>
                </c:pt>
                <c:pt idx="2" formatCode="General">
                  <c:v>0</c:v>
                </c:pt>
                <c:pt idx="3">
                  <c:v>0.60848024432467984</c:v>
                </c:pt>
                <c:pt idx="4">
                  <c:v>0.60848024432467995</c:v>
                </c:pt>
                <c:pt idx="5">
                  <c:v>0.60848024432467995</c:v>
                </c:pt>
                <c:pt idx="6">
                  <c:v>0.60848024432467995</c:v>
                </c:pt>
                <c:pt idx="7">
                  <c:v>0.60848024432467995</c:v>
                </c:pt>
                <c:pt idx="8" formatCode="General">
                  <c:v>0</c:v>
                </c:pt>
                <c:pt idx="9">
                  <c:v>0.60848024432467995</c:v>
                </c:pt>
                <c:pt idx="10">
                  <c:v>0.60848024432467995</c:v>
                </c:pt>
                <c:pt idx="11">
                  <c:v>0.60848024432467995</c:v>
                </c:pt>
                <c:pt idx="12">
                  <c:v>0.60848024432467995</c:v>
                </c:pt>
              </c:numCache>
            </c:numRef>
          </c:val>
          <c:extLst>
            <c:ext xmlns:c16="http://schemas.microsoft.com/office/drawing/2014/chart" uri="{C3380CC4-5D6E-409C-BE32-E72D297353CC}">
              <c16:uniqueId val="{0000000D-C98D-4989-98CA-9AD0A33B2B91}"/>
            </c:ext>
          </c:extLst>
        </c:ser>
        <c:dLbls>
          <c:showLegendKey val="0"/>
          <c:showVal val="0"/>
          <c:showCatName val="0"/>
          <c:showSerName val="0"/>
          <c:showPercent val="0"/>
          <c:showBubbleSize val="0"/>
        </c:dLbls>
        <c:gapWidth val="150"/>
        <c:overlap val="100"/>
        <c:axId val="1178576527"/>
        <c:axId val="773948415"/>
      </c:barChart>
      <c:catAx>
        <c:axId val="1178576527"/>
        <c:scaling>
          <c:orientation val="minMax"/>
        </c:scaling>
        <c:delete val="0"/>
        <c:axPos val="b"/>
        <c:title>
          <c:tx>
            <c:rich>
              <a:bodyPr/>
              <a:lstStyle/>
              <a:p>
                <a:pPr lvl="0">
                  <a:defRPr b="0">
                    <a:solidFill>
                      <a:srgbClr val="000000"/>
                    </a:solidFill>
                    <a:latin typeface="+mn-lt"/>
                  </a:defRPr>
                </a:pPr>
                <a:endParaRPr lang="fi-FI"/>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fi-FI"/>
          </a:p>
        </c:txPr>
        <c:crossAx val="773948415"/>
        <c:crosses val="autoZero"/>
        <c:auto val="1"/>
        <c:lblAlgn val="ctr"/>
        <c:lblOffset val="100"/>
        <c:noMultiLvlLbl val="1"/>
      </c:catAx>
      <c:valAx>
        <c:axId val="773948415"/>
        <c:scaling>
          <c:orientation val="minMax"/>
          <c:max val="5"/>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fi-FI"/>
              </a:p>
            </c:rich>
          </c:tx>
          <c:overlay val="0"/>
        </c:title>
        <c:numFmt formatCode="#,##0\ [$€-1]" sourceLinked="0"/>
        <c:majorTickMark val="cross"/>
        <c:minorTickMark val="none"/>
        <c:tickLblPos val="nextTo"/>
        <c:spPr>
          <a:ln/>
        </c:spPr>
        <c:txPr>
          <a:bodyPr/>
          <a:lstStyle/>
          <a:p>
            <a:pPr lvl="0">
              <a:defRPr b="0">
                <a:solidFill>
                  <a:srgbClr val="000000"/>
                </a:solidFill>
                <a:latin typeface="+mn-lt"/>
              </a:defRPr>
            </a:pPr>
            <a:endParaRPr lang="fi-FI"/>
          </a:p>
        </c:txPr>
        <c:crossAx val="1178576527"/>
        <c:crosses val="autoZero"/>
        <c:crossBetween val="between"/>
      </c:valAx>
    </c:plotArea>
    <c:legend>
      <c:legendPos val="r"/>
      <c:overlay val="0"/>
      <c:txPr>
        <a:bodyPr/>
        <a:lstStyle/>
        <a:p>
          <a:pPr lvl="0">
            <a:defRPr sz="1200" b="1" i="0">
              <a:solidFill>
                <a:srgbClr val="1A1A1A"/>
              </a:solidFill>
              <a:latin typeface="+mn-lt"/>
            </a:defRPr>
          </a:pPr>
          <a:endParaRPr lang="fi-FI"/>
        </a:p>
      </c:txPr>
    </c:legend>
    <c:plotVisOnly val="1"/>
    <c:dispBlanksAs val="zero"/>
    <c:showDLblsOverMax val="1"/>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1"/>
  <c:style val="2"/>
  <c:chart>
    <c:autoTitleDeleted val="1"/>
    <c:plotArea>
      <c:layout/>
      <c:barChart>
        <c:barDir val="col"/>
        <c:grouping val="stacked"/>
        <c:varyColors val="1"/>
        <c:ser>
          <c:idx val="0"/>
          <c:order val="0"/>
          <c:tx>
            <c:strRef>
              <c:f>'Yhteenveto raportointiin'!$A$7</c:f>
              <c:strCache>
                <c:ptCount val="1"/>
                <c:pt idx="0">
                  <c:v>Toimija 1 Talvivaate 1</c:v>
                </c:pt>
              </c:strCache>
            </c:strRef>
          </c:tx>
          <c:spPr>
            <a:solidFill>
              <a:srgbClr val="5B0F00"/>
            </a:solidFill>
          </c:spPr>
          <c:invertIfNegative val="1"/>
          <c:cat>
            <c:strRef>
              <c:f>'Yhteenveto raportointiin'!$B$6:$F$6</c:f>
              <c:strCache>
                <c:ptCount val="5"/>
                <c:pt idx="0">
                  <c:v>Pesut kotona (kg CO₂e/a)</c:v>
                </c:pt>
                <c:pt idx="1">
                  <c:v>Rumpukuivatus kotona (kg CO₂e/a)</c:v>
                </c:pt>
                <c:pt idx="2">
                  <c:v>Narukuivatus kotona (kg CO₂e/a)</c:v>
                </c:pt>
                <c:pt idx="3">
                  <c:v>Pesut toimipisteellä (kg CO₂e/a)</c:v>
                </c:pt>
                <c:pt idx="4">
                  <c:v>Kaappikuivatus toimipisteellä (kg CO₂e/a)</c:v>
                </c:pt>
              </c:strCache>
            </c:strRef>
          </c:cat>
          <c:val>
            <c:numRef>
              <c:f>'Yhteenveto raportointiin'!$B$7:$F$7</c:f>
              <c:numCache>
                <c:formatCode>0.00</c:formatCode>
                <c:ptCount val="5"/>
                <c:pt idx="0">
                  <c:v>0.04</c:v>
                </c:pt>
                <c:pt idx="1">
                  <c:v>7.0000000000000007E-2</c:v>
                </c:pt>
                <c:pt idx="2">
                  <c:v>0.08</c:v>
                </c:pt>
                <c:pt idx="3">
                  <c:v>0.09</c:v>
                </c:pt>
                <c:pt idx="4">
                  <c:v>0.6</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0-4C57-4AD9-AC1B-180BB7242392}"/>
            </c:ext>
          </c:extLst>
        </c:ser>
        <c:ser>
          <c:idx val="1"/>
          <c:order val="1"/>
          <c:tx>
            <c:strRef>
              <c:f>'Yhteenveto raportointiin'!$A$8</c:f>
              <c:strCache>
                <c:ptCount val="1"/>
                <c:pt idx="0">
                  <c:v>Toimija 1 Talvivaate 2</c:v>
                </c:pt>
              </c:strCache>
            </c:strRef>
          </c:tx>
          <c:spPr>
            <a:solidFill>
              <a:srgbClr val="A61C00"/>
            </a:solidFill>
          </c:spPr>
          <c:invertIfNegative val="1"/>
          <c:cat>
            <c:strRef>
              <c:f>'Yhteenveto raportointiin'!$B$6:$F$6</c:f>
              <c:strCache>
                <c:ptCount val="5"/>
                <c:pt idx="0">
                  <c:v>Pesut kotona (kg CO₂e/a)</c:v>
                </c:pt>
                <c:pt idx="1">
                  <c:v>Rumpukuivatus kotona (kg CO₂e/a)</c:v>
                </c:pt>
                <c:pt idx="2">
                  <c:v>Narukuivatus kotona (kg CO₂e/a)</c:v>
                </c:pt>
                <c:pt idx="3">
                  <c:v>Pesut toimipisteellä (kg CO₂e/a)</c:v>
                </c:pt>
                <c:pt idx="4">
                  <c:v>Kaappikuivatus toimipisteellä (kg CO₂e/a)</c:v>
                </c:pt>
              </c:strCache>
            </c:strRef>
          </c:cat>
          <c:val>
            <c:numRef>
              <c:f>'Yhteenveto raportointiin'!$B$8:$F$8</c:f>
              <c:numCache>
                <c:formatCode>0.00</c:formatCode>
                <c:ptCount val="5"/>
                <c:pt idx="0">
                  <c:v>0.04</c:v>
                </c:pt>
                <c:pt idx="1">
                  <c:v>7.0000000000000007E-2</c:v>
                </c:pt>
                <c:pt idx="2">
                  <c:v>0.08</c:v>
                </c:pt>
                <c:pt idx="3">
                  <c:v>0.09</c:v>
                </c:pt>
                <c:pt idx="4">
                  <c:v>0.6</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1-4C57-4AD9-AC1B-180BB7242392}"/>
            </c:ext>
          </c:extLst>
        </c:ser>
        <c:dLbls>
          <c:showLegendKey val="0"/>
          <c:showVal val="0"/>
          <c:showCatName val="0"/>
          <c:showSerName val="0"/>
          <c:showPercent val="0"/>
          <c:showBubbleSize val="0"/>
        </c:dLbls>
        <c:gapWidth val="150"/>
        <c:overlap val="100"/>
        <c:axId val="1987207580"/>
        <c:axId val="808397045"/>
      </c:barChart>
      <c:catAx>
        <c:axId val="1987207580"/>
        <c:scaling>
          <c:orientation val="minMax"/>
        </c:scaling>
        <c:delete val="0"/>
        <c:axPos val="b"/>
        <c:title>
          <c:tx>
            <c:rich>
              <a:bodyPr/>
              <a:lstStyle/>
              <a:p>
                <a:pPr lvl="0">
                  <a:defRPr b="0">
                    <a:solidFill>
                      <a:srgbClr val="000000"/>
                    </a:solidFill>
                    <a:latin typeface="+mn-lt"/>
                  </a:defRPr>
                </a:pPr>
                <a:endParaRPr lang="fi-FI"/>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fi-FI"/>
          </a:p>
        </c:txPr>
        <c:crossAx val="808397045"/>
        <c:crosses val="autoZero"/>
        <c:auto val="1"/>
        <c:lblAlgn val="ctr"/>
        <c:lblOffset val="100"/>
        <c:noMultiLvlLbl val="1"/>
      </c:catAx>
      <c:valAx>
        <c:axId val="808397045"/>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fi-FI"/>
              </a:p>
            </c:rich>
          </c:tx>
          <c:overlay val="0"/>
        </c:title>
        <c:numFmt formatCode="0.00" sourceLinked="1"/>
        <c:majorTickMark val="none"/>
        <c:minorTickMark val="none"/>
        <c:tickLblPos val="nextTo"/>
        <c:spPr>
          <a:ln/>
        </c:spPr>
        <c:txPr>
          <a:bodyPr/>
          <a:lstStyle/>
          <a:p>
            <a:pPr lvl="0">
              <a:defRPr b="0">
                <a:solidFill>
                  <a:srgbClr val="000000"/>
                </a:solidFill>
                <a:latin typeface="+mn-lt"/>
              </a:defRPr>
            </a:pPr>
            <a:endParaRPr lang="fi-FI"/>
          </a:p>
        </c:txPr>
        <c:crossAx val="1987207580"/>
        <c:crosses val="autoZero"/>
        <c:crossBetween val="between"/>
      </c:valAx>
    </c:plotArea>
    <c:legend>
      <c:legendPos val="r"/>
      <c:overlay val="0"/>
      <c:txPr>
        <a:bodyPr/>
        <a:lstStyle/>
        <a:p>
          <a:pPr lvl="0">
            <a:defRPr b="0">
              <a:solidFill>
                <a:srgbClr val="1A1A1A"/>
              </a:solidFill>
              <a:latin typeface="+mn-lt"/>
            </a:defRPr>
          </a:pPr>
          <a:endParaRPr lang="fi-FI"/>
        </a:p>
      </c:txPr>
    </c:legend>
    <c:plotVisOnly val="1"/>
    <c:dispBlanksAs val="zero"/>
    <c:showDLblsOverMax val="1"/>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1"/>
  <c:style val="2"/>
  <c:chart>
    <c:autoTitleDeleted val="1"/>
    <c:plotArea>
      <c:layout/>
      <c:barChart>
        <c:barDir val="col"/>
        <c:grouping val="stacked"/>
        <c:varyColors val="1"/>
        <c:ser>
          <c:idx val="0"/>
          <c:order val="0"/>
          <c:tx>
            <c:strRef>
              <c:f>'Yhteenveto raportointiin'!$A$12</c:f>
              <c:strCache>
                <c:ptCount val="1"/>
                <c:pt idx="0">
                  <c:v>Toimija 1 Talvivaate 1</c:v>
                </c:pt>
              </c:strCache>
            </c:strRef>
          </c:tx>
          <c:spPr>
            <a:solidFill>
              <a:srgbClr val="5B0F00"/>
            </a:solidFill>
          </c:spPr>
          <c:invertIfNegative val="1"/>
          <c:cat>
            <c:strRef>
              <c:f>'Yhteenveto raportointiin'!$B$11:$F$11</c:f>
              <c:strCache>
                <c:ptCount val="5"/>
                <c:pt idx="0">
                  <c:v>Pesu ja kuivaus pesulassa (kg CO₂e/a)</c:v>
                </c:pt>
                <c:pt idx="1">
                  <c:v>Kaasukuivaus, maakaasu (kg CO₂e/a)</c:v>
                </c:pt>
                <c:pt idx="2">
                  <c:v>Kaasukuivatus, biokaasu (kg CO₂e/a)</c:v>
                </c:pt>
                <c:pt idx="3">
                  <c:v>Kuljetukset, suorat päästöt (kg CO₂e/a)</c:v>
                </c:pt>
                <c:pt idx="4">
                  <c:v>Polttoaineen valmistus (kg CO₂e/a)</c:v>
                </c:pt>
              </c:strCache>
            </c:strRef>
          </c:cat>
          <c:val>
            <c:numRef>
              <c:f>'Yhteenveto raportointiin'!$B$12:$F$12</c:f>
              <c:numCache>
                <c:formatCode>0.00</c:formatCode>
                <c:ptCount val="5"/>
                <c:pt idx="0">
                  <c:v>0.31</c:v>
                </c:pt>
                <c:pt idx="1">
                  <c:v>1.91</c:v>
                </c:pt>
                <c:pt idx="2">
                  <c:v>0</c:v>
                </c:pt>
                <c:pt idx="3">
                  <c:v>0</c:v>
                </c:pt>
                <c:pt idx="4">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0-9BAA-4B8D-A7B4-27984ECB4A5D}"/>
            </c:ext>
          </c:extLst>
        </c:ser>
        <c:ser>
          <c:idx val="1"/>
          <c:order val="1"/>
          <c:tx>
            <c:strRef>
              <c:f>'Yhteenveto raportointiin'!$A$13</c:f>
              <c:strCache>
                <c:ptCount val="1"/>
                <c:pt idx="0">
                  <c:v>Toimija 1 Talvivaate 2</c:v>
                </c:pt>
              </c:strCache>
            </c:strRef>
          </c:tx>
          <c:spPr>
            <a:solidFill>
              <a:srgbClr val="A61C00"/>
            </a:solidFill>
          </c:spPr>
          <c:invertIfNegative val="1"/>
          <c:cat>
            <c:strRef>
              <c:f>'Yhteenveto raportointiin'!$B$11:$F$11</c:f>
              <c:strCache>
                <c:ptCount val="5"/>
                <c:pt idx="0">
                  <c:v>Pesu ja kuivaus pesulassa (kg CO₂e/a)</c:v>
                </c:pt>
                <c:pt idx="1">
                  <c:v>Kaasukuivaus, maakaasu (kg CO₂e/a)</c:v>
                </c:pt>
                <c:pt idx="2">
                  <c:v>Kaasukuivatus, biokaasu (kg CO₂e/a)</c:v>
                </c:pt>
                <c:pt idx="3">
                  <c:v>Kuljetukset, suorat päästöt (kg CO₂e/a)</c:v>
                </c:pt>
                <c:pt idx="4">
                  <c:v>Polttoaineen valmistus (kg CO₂e/a)</c:v>
                </c:pt>
              </c:strCache>
            </c:strRef>
          </c:cat>
          <c:val>
            <c:numRef>
              <c:f>'Yhteenveto raportointiin'!$B$13:$F$13</c:f>
              <c:numCache>
                <c:formatCode>0.00</c:formatCode>
                <c:ptCount val="5"/>
                <c:pt idx="0">
                  <c:v>0.31</c:v>
                </c:pt>
                <c:pt idx="1">
                  <c:v>1.91</c:v>
                </c:pt>
                <c:pt idx="2">
                  <c:v>0</c:v>
                </c:pt>
                <c:pt idx="3">
                  <c:v>0</c:v>
                </c:pt>
                <c:pt idx="4">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1-9BAA-4B8D-A7B4-27984ECB4A5D}"/>
            </c:ext>
          </c:extLst>
        </c:ser>
        <c:dLbls>
          <c:showLegendKey val="0"/>
          <c:showVal val="0"/>
          <c:showCatName val="0"/>
          <c:showSerName val="0"/>
          <c:showPercent val="0"/>
          <c:showBubbleSize val="0"/>
        </c:dLbls>
        <c:gapWidth val="150"/>
        <c:overlap val="100"/>
        <c:axId val="1977173137"/>
        <c:axId val="1593460574"/>
      </c:barChart>
      <c:catAx>
        <c:axId val="1977173137"/>
        <c:scaling>
          <c:orientation val="minMax"/>
        </c:scaling>
        <c:delete val="0"/>
        <c:axPos val="b"/>
        <c:title>
          <c:tx>
            <c:rich>
              <a:bodyPr/>
              <a:lstStyle/>
              <a:p>
                <a:pPr lvl="0">
                  <a:defRPr b="0">
                    <a:solidFill>
                      <a:srgbClr val="000000"/>
                    </a:solidFill>
                    <a:latin typeface="+mn-lt"/>
                  </a:defRPr>
                </a:pPr>
                <a:endParaRPr lang="fi-FI"/>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fi-FI"/>
          </a:p>
        </c:txPr>
        <c:crossAx val="1593460574"/>
        <c:crosses val="autoZero"/>
        <c:auto val="1"/>
        <c:lblAlgn val="ctr"/>
        <c:lblOffset val="100"/>
        <c:noMultiLvlLbl val="1"/>
      </c:catAx>
      <c:valAx>
        <c:axId val="1593460574"/>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fi-FI"/>
              </a:p>
            </c:rich>
          </c:tx>
          <c:overlay val="0"/>
        </c:title>
        <c:numFmt formatCode="0.00" sourceLinked="1"/>
        <c:majorTickMark val="none"/>
        <c:minorTickMark val="none"/>
        <c:tickLblPos val="nextTo"/>
        <c:spPr>
          <a:ln/>
        </c:spPr>
        <c:txPr>
          <a:bodyPr/>
          <a:lstStyle/>
          <a:p>
            <a:pPr lvl="0">
              <a:defRPr b="0">
                <a:solidFill>
                  <a:srgbClr val="000000"/>
                </a:solidFill>
                <a:latin typeface="+mn-lt"/>
              </a:defRPr>
            </a:pPr>
            <a:endParaRPr lang="fi-FI"/>
          </a:p>
        </c:txPr>
        <c:crossAx val="1977173137"/>
        <c:crosses val="autoZero"/>
        <c:crossBetween val="between"/>
      </c:valAx>
    </c:plotArea>
    <c:legend>
      <c:legendPos val="r"/>
      <c:overlay val="0"/>
      <c:txPr>
        <a:bodyPr/>
        <a:lstStyle/>
        <a:p>
          <a:pPr lvl="0">
            <a:defRPr b="0">
              <a:solidFill>
                <a:srgbClr val="1A1A1A"/>
              </a:solidFill>
              <a:latin typeface="+mn-lt"/>
            </a:defRPr>
          </a:pPr>
          <a:endParaRPr lang="fi-FI"/>
        </a:p>
      </c:txPr>
    </c:legend>
    <c:plotVisOnly val="1"/>
    <c:dispBlanksAs val="zero"/>
    <c:showDLblsOverMax val="1"/>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1"/>
  <c:style val="2"/>
  <c:chart>
    <c:autoTitleDeleted val="1"/>
    <c:plotArea>
      <c:layout>
        <c:manualLayout>
          <c:xMode val="edge"/>
          <c:yMode val="edge"/>
          <c:x val="6.2864231418918878E-2"/>
          <c:y val="0.11033797216699802"/>
          <c:w val="0.90623896268427528"/>
          <c:h val="0.73966202783300194"/>
        </c:manualLayout>
      </c:layout>
      <c:barChart>
        <c:barDir val="col"/>
        <c:grouping val="stacked"/>
        <c:varyColors val="1"/>
        <c:ser>
          <c:idx val="0"/>
          <c:order val="0"/>
          <c:tx>
            <c:strRef>
              <c:f>'Yhteenveto raportointiin'!$A$16</c:f>
              <c:strCache>
                <c:ptCount val="1"/>
                <c:pt idx="0">
                  <c:v>Toimija 2 vaate 1</c:v>
                </c:pt>
              </c:strCache>
            </c:strRef>
          </c:tx>
          <c:spPr>
            <a:solidFill>
              <a:srgbClr val="783F04"/>
            </a:solidFill>
          </c:spPr>
          <c:invertIfNegative val="1"/>
          <c:cat>
            <c:strRef>
              <c:f>'Yhteenveto raportointiin'!$B$15:$K$15</c:f>
              <c:strCache>
                <c:ptCount val="10"/>
                <c:pt idx="0">
                  <c:v>Pesut kotona (kg CO₂e/a)</c:v>
                </c:pt>
                <c:pt idx="1">
                  <c:v>Rumpukuivatus kotona (kg CO₂e/a)</c:v>
                </c:pt>
                <c:pt idx="2">
                  <c:v>Narukuivatus kotona (kg CO₂e/a)</c:v>
                </c:pt>
                <c:pt idx="3">
                  <c:v>Pesut toimipisteellä (kg CO₂e/a)</c:v>
                </c:pt>
                <c:pt idx="4">
                  <c:v>Kaappikuivatus toimipisteellä (kg CO₂e/a)</c:v>
                </c:pt>
                <c:pt idx="5">
                  <c:v>Pesu ja kuivaus pesulassa (kg CO₂e/a)</c:v>
                </c:pt>
                <c:pt idx="6">
                  <c:v>Kaasukuivaus, maakaasu (kg CO₂e/a)</c:v>
                </c:pt>
                <c:pt idx="7">
                  <c:v>Kaasukuivatus, biokaasu (kg CO₂e/a)</c:v>
                </c:pt>
                <c:pt idx="8">
                  <c:v>Kuljetukset, suorat päästöt (kg CO₂e/a)</c:v>
                </c:pt>
                <c:pt idx="9">
                  <c:v>Polttoaineen valmistus (kg CO₂e/a)</c:v>
                </c:pt>
              </c:strCache>
            </c:strRef>
          </c:cat>
          <c:val>
            <c:numRef>
              <c:f>'Yhteenveto raportointiin'!$B$16:$K$16</c:f>
              <c:numCache>
                <c:formatCode>0.00</c:formatCode>
                <c:ptCount val="10"/>
                <c:pt idx="0">
                  <c:v>1.4</c:v>
                </c:pt>
                <c:pt idx="1">
                  <c:v>2.59</c:v>
                </c:pt>
                <c:pt idx="2">
                  <c:v>3</c:v>
                </c:pt>
                <c:pt idx="3">
                  <c:v>1.4</c:v>
                </c:pt>
                <c:pt idx="4">
                  <c:v>9.08</c:v>
                </c:pt>
                <c:pt idx="5">
                  <c:v>1.65</c:v>
                </c:pt>
                <c:pt idx="6">
                  <c:v>10.14</c:v>
                </c:pt>
                <c:pt idx="7">
                  <c:v>0</c:v>
                </c:pt>
                <c:pt idx="8">
                  <c:v>0.01</c:v>
                </c:pt>
                <c:pt idx="9">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0-6CAC-4A78-8384-33AF81A3AEA3}"/>
            </c:ext>
          </c:extLst>
        </c:ser>
        <c:ser>
          <c:idx val="1"/>
          <c:order val="1"/>
          <c:tx>
            <c:strRef>
              <c:f>'Yhteenveto raportointiin'!$A$17</c:f>
              <c:strCache>
                <c:ptCount val="1"/>
                <c:pt idx="0">
                  <c:v>Toimija 2 vaate 2</c:v>
                </c:pt>
              </c:strCache>
            </c:strRef>
          </c:tx>
          <c:spPr>
            <a:solidFill>
              <a:srgbClr val="B45F06"/>
            </a:solidFill>
          </c:spPr>
          <c:invertIfNegative val="1"/>
          <c:cat>
            <c:strRef>
              <c:f>'Yhteenveto raportointiin'!$B$15:$K$15</c:f>
              <c:strCache>
                <c:ptCount val="10"/>
                <c:pt idx="0">
                  <c:v>Pesut kotona (kg CO₂e/a)</c:v>
                </c:pt>
                <c:pt idx="1">
                  <c:v>Rumpukuivatus kotona (kg CO₂e/a)</c:v>
                </c:pt>
                <c:pt idx="2">
                  <c:v>Narukuivatus kotona (kg CO₂e/a)</c:v>
                </c:pt>
                <c:pt idx="3">
                  <c:v>Pesut toimipisteellä (kg CO₂e/a)</c:v>
                </c:pt>
                <c:pt idx="4">
                  <c:v>Kaappikuivatus toimipisteellä (kg CO₂e/a)</c:v>
                </c:pt>
                <c:pt idx="5">
                  <c:v>Pesu ja kuivaus pesulassa (kg CO₂e/a)</c:v>
                </c:pt>
                <c:pt idx="6">
                  <c:v>Kaasukuivaus, maakaasu (kg CO₂e/a)</c:v>
                </c:pt>
                <c:pt idx="7">
                  <c:v>Kaasukuivatus, biokaasu (kg CO₂e/a)</c:v>
                </c:pt>
                <c:pt idx="8">
                  <c:v>Kuljetukset, suorat päästöt (kg CO₂e/a)</c:v>
                </c:pt>
                <c:pt idx="9">
                  <c:v>Polttoaineen valmistus (kg CO₂e/a)</c:v>
                </c:pt>
              </c:strCache>
            </c:strRef>
          </c:cat>
          <c:val>
            <c:numRef>
              <c:f>'Yhteenveto raportointiin'!$B$17:$K$17</c:f>
              <c:numCache>
                <c:formatCode>0.00</c:formatCode>
                <c:ptCount val="10"/>
                <c:pt idx="0">
                  <c:v>1.4</c:v>
                </c:pt>
                <c:pt idx="1">
                  <c:v>2.59</c:v>
                </c:pt>
                <c:pt idx="2">
                  <c:v>3</c:v>
                </c:pt>
                <c:pt idx="3">
                  <c:v>1.4</c:v>
                </c:pt>
                <c:pt idx="4">
                  <c:v>9.08</c:v>
                </c:pt>
                <c:pt idx="5">
                  <c:v>1.65</c:v>
                </c:pt>
                <c:pt idx="6">
                  <c:v>10.14</c:v>
                </c:pt>
                <c:pt idx="7">
                  <c:v>0</c:v>
                </c:pt>
                <c:pt idx="8">
                  <c:v>0.01</c:v>
                </c:pt>
                <c:pt idx="9">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1-6CAC-4A78-8384-33AF81A3AEA3}"/>
            </c:ext>
          </c:extLst>
        </c:ser>
        <c:ser>
          <c:idx val="2"/>
          <c:order val="2"/>
          <c:tx>
            <c:strRef>
              <c:f>'Yhteenveto raportointiin'!$A$18</c:f>
              <c:strCache>
                <c:ptCount val="1"/>
                <c:pt idx="0">
                  <c:v>Toimija 2 vaate 3</c:v>
                </c:pt>
              </c:strCache>
            </c:strRef>
          </c:tx>
          <c:spPr>
            <a:solidFill>
              <a:srgbClr val="E69138"/>
            </a:solidFill>
          </c:spPr>
          <c:invertIfNegative val="1"/>
          <c:cat>
            <c:strRef>
              <c:f>'Yhteenveto raportointiin'!$B$15:$K$15</c:f>
              <c:strCache>
                <c:ptCount val="10"/>
                <c:pt idx="0">
                  <c:v>Pesut kotona (kg CO₂e/a)</c:v>
                </c:pt>
                <c:pt idx="1">
                  <c:v>Rumpukuivatus kotona (kg CO₂e/a)</c:v>
                </c:pt>
                <c:pt idx="2">
                  <c:v>Narukuivatus kotona (kg CO₂e/a)</c:v>
                </c:pt>
                <c:pt idx="3">
                  <c:v>Pesut toimipisteellä (kg CO₂e/a)</c:v>
                </c:pt>
                <c:pt idx="4">
                  <c:v>Kaappikuivatus toimipisteellä (kg CO₂e/a)</c:v>
                </c:pt>
                <c:pt idx="5">
                  <c:v>Pesu ja kuivaus pesulassa (kg CO₂e/a)</c:v>
                </c:pt>
                <c:pt idx="6">
                  <c:v>Kaasukuivaus, maakaasu (kg CO₂e/a)</c:v>
                </c:pt>
                <c:pt idx="7">
                  <c:v>Kaasukuivatus, biokaasu (kg CO₂e/a)</c:v>
                </c:pt>
                <c:pt idx="8">
                  <c:v>Kuljetukset, suorat päästöt (kg CO₂e/a)</c:v>
                </c:pt>
                <c:pt idx="9">
                  <c:v>Polttoaineen valmistus (kg CO₂e/a)</c:v>
                </c:pt>
              </c:strCache>
            </c:strRef>
          </c:cat>
          <c:val>
            <c:numRef>
              <c:f>'Yhteenveto raportointiin'!$B$18:$K$18</c:f>
              <c:numCache>
                <c:formatCode>0.00</c:formatCode>
                <c:ptCount val="10"/>
                <c:pt idx="0">
                  <c:v>0.7</c:v>
                </c:pt>
                <c:pt idx="1">
                  <c:v>1.29</c:v>
                </c:pt>
                <c:pt idx="2">
                  <c:v>1.5</c:v>
                </c:pt>
                <c:pt idx="3">
                  <c:v>0.7</c:v>
                </c:pt>
                <c:pt idx="4">
                  <c:v>4.54</c:v>
                </c:pt>
                <c:pt idx="5">
                  <c:v>0.83</c:v>
                </c:pt>
                <c:pt idx="6">
                  <c:v>5.07</c:v>
                </c:pt>
                <c:pt idx="7">
                  <c:v>0</c:v>
                </c:pt>
                <c:pt idx="8">
                  <c:v>0</c:v>
                </c:pt>
                <c:pt idx="9">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2-6CAC-4A78-8384-33AF81A3AEA3}"/>
            </c:ext>
          </c:extLst>
        </c:ser>
        <c:ser>
          <c:idx val="3"/>
          <c:order val="3"/>
          <c:tx>
            <c:strRef>
              <c:f>'Yhteenveto raportointiin'!$A$19</c:f>
              <c:strCache>
                <c:ptCount val="1"/>
                <c:pt idx="0">
                  <c:v>Toimija 2 vaate 4</c:v>
                </c:pt>
              </c:strCache>
            </c:strRef>
          </c:tx>
          <c:spPr>
            <a:solidFill>
              <a:srgbClr val="F6B26B"/>
            </a:solidFill>
          </c:spPr>
          <c:invertIfNegative val="1"/>
          <c:cat>
            <c:strRef>
              <c:f>'Yhteenveto raportointiin'!$B$15:$K$15</c:f>
              <c:strCache>
                <c:ptCount val="10"/>
                <c:pt idx="0">
                  <c:v>Pesut kotona (kg CO₂e/a)</c:v>
                </c:pt>
                <c:pt idx="1">
                  <c:v>Rumpukuivatus kotona (kg CO₂e/a)</c:v>
                </c:pt>
                <c:pt idx="2">
                  <c:v>Narukuivatus kotona (kg CO₂e/a)</c:v>
                </c:pt>
                <c:pt idx="3">
                  <c:v>Pesut toimipisteellä (kg CO₂e/a)</c:v>
                </c:pt>
                <c:pt idx="4">
                  <c:v>Kaappikuivatus toimipisteellä (kg CO₂e/a)</c:v>
                </c:pt>
                <c:pt idx="5">
                  <c:v>Pesu ja kuivaus pesulassa (kg CO₂e/a)</c:v>
                </c:pt>
                <c:pt idx="6">
                  <c:v>Kaasukuivaus, maakaasu (kg CO₂e/a)</c:v>
                </c:pt>
                <c:pt idx="7">
                  <c:v>Kaasukuivatus, biokaasu (kg CO₂e/a)</c:v>
                </c:pt>
                <c:pt idx="8">
                  <c:v>Kuljetukset, suorat päästöt (kg CO₂e/a)</c:v>
                </c:pt>
                <c:pt idx="9">
                  <c:v>Polttoaineen valmistus (kg CO₂e/a)</c:v>
                </c:pt>
              </c:strCache>
            </c:strRef>
          </c:cat>
          <c:val>
            <c:numRef>
              <c:f>'Yhteenveto raportointiin'!$B$19:$K$19</c:f>
              <c:numCache>
                <c:formatCode>0.00</c:formatCode>
                <c:ptCount val="10"/>
                <c:pt idx="0">
                  <c:v>0.17</c:v>
                </c:pt>
                <c:pt idx="1">
                  <c:v>0.32</c:v>
                </c:pt>
                <c:pt idx="2">
                  <c:v>0.38</c:v>
                </c:pt>
                <c:pt idx="3">
                  <c:v>0.17</c:v>
                </c:pt>
                <c:pt idx="4">
                  <c:v>1.1399999999999999</c:v>
                </c:pt>
                <c:pt idx="5">
                  <c:v>0.21</c:v>
                </c:pt>
                <c:pt idx="6">
                  <c:v>1.27</c:v>
                </c:pt>
                <c:pt idx="7">
                  <c:v>0</c:v>
                </c:pt>
                <c:pt idx="8">
                  <c:v>0</c:v>
                </c:pt>
                <c:pt idx="9">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3-6CAC-4A78-8384-33AF81A3AEA3}"/>
            </c:ext>
          </c:extLst>
        </c:ser>
        <c:ser>
          <c:idx val="4"/>
          <c:order val="4"/>
          <c:tx>
            <c:strRef>
              <c:f>'Yhteenveto raportointiin'!$A$20</c:f>
              <c:strCache>
                <c:ptCount val="1"/>
                <c:pt idx="0">
                  <c:v>Toimija 2 vaate 5</c:v>
                </c:pt>
              </c:strCache>
            </c:strRef>
          </c:tx>
          <c:spPr>
            <a:solidFill>
              <a:srgbClr val="F9CB9C"/>
            </a:solidFill>
          </c:spPr>
          <c:invertIfNegative val="1"/>
          <c:cat>
            <c:strRef>
              <c:f>'Yhteenveto raportointiin'!$B$15:$K$15</c:f>
              <c:strCache>
                <c:ptCount val="10"/>
                <c:pt idx="0">
                  <c:v>Pesut kotona (kg CO₂e/a)</c:v>
                </c:pt>
                <c:pt idx="1">
                  <c:v>Rumpukuivatus kotona (kg CO₂e/a)</c:v>
                </c:pt>
                <c:pt idx="2">
                  <c:v>Narukuivatus kotona (kg CO₂e/a)</c:v>
                </c:pt>
                <c:pt idx="3">
                  <c:v>Pesut toimipisteellä (kg CO₂e/a)</c:v>
                </c:pt>
                <c:pt idx="4">
                  <c:v>Kaappikuivatus toimipisteellä (kg CO₂e/a)</c:v>
                </c:pt>
                <c:pt idx="5">
                  <c:v>Pesu ja kuivaus pesulassa (kg CO₂e/a)</c:v>
                </c:pt>
                <c:pt idx="6">
                  <c:v>Kaasukuivaus, maakaasu (kg CO₂e/a)</c:v>
                </c:pt>
                <c:pt idx="7">
                  <c:v>Kaasukuivatus, biokaasu (kg CO₂e/a)</c:v>
                </c:pt>
                <c:pt idx="8">
                  <c:v>Kuljetukset, suorat päästöt (kg CO₂e/a)</c:v>
                </c:pt>
                <c:pt idx="9">
                  <c:v>Polttoaineen valmistus (kg CO₂e/a)</c:v>
                </c:pt>
              </c:strCache>
            </c:strRef>
          </c:cat>
          <c:val>
            <c:numRef>
              <c:f>'Yhteenveto raportointiin'!$B$20:$K$20</c:f>
              <c:numCache>
                <c:formatCode>0.00</c:formatCode>
                <c:ptCount val="10"/>
                <c:pt idx="0">
                  <c:v>0.17451742200000001</c:v>
                </c:pt>
                <c:pt idx="1">
                  <c:v>0.32</c:v>
                </c:pt>
                <c:pt idx="2">
                  <c:v>0.38</c:v>
                </c:pt>
                <c:pt idx="3">
                  <c:v>0.17</c:v>
                </c:pt>
                <c:pt idx="4">
                  <c:v>1.1399999999999999</c:v>
                </c:pt>
                <c:pt idx="5">
                  <c:v>0.21</c:v>
                </c:pt>
                <c:pt idx="6">
                  <c:v>1.27</c:v>
                </c:pt>
                <c:pt idx="7">
                  <c:v>0</c:v>
                </c:pt>
                <c:pt idx="8">
                  <c:v>0</c:v>
                </c:pt>
                <c:pt idx="9">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4-6CAC-4A78-8384-33AF81A3AEA3}"/>
            </c:ext>
          </c:extLst>
        </c:ser>
        <c:dLbls>
          <c:showLegendKey val="0"/>
          <c:showVal val="0"/>
          <c:showCatName val="0"/>
          <c:showSerName val="0"/>
          <c:showPercent val="0"/>
          <c:showBubbleSize val="0"/>
        </c:dLbls>
        <c:gapWidth val="150"/>
        <c:overlap val="100"/>
        <c:axId val="1783077255"/>
        <c:axId val="692700464"/>
      </c:barChart>
      <c:catAx>
        <c:axId val="1783077255"/>
        <c:scaling>
          <c:orientation val="minMax"/>
        </c:scaling>
        <c:delete val="0"/>
        <c:axPos val="b"/>
        <c:title>
          <c:tx>
            <c:rich>
              <a:bodyPr/>
              <a:lstStyle/>
              <a:p>
                <a:pPr lvl="0">
                  <a:defRPr b="0">
                    <a:solidFill>
                      <a:srgbClr val="000000"/>
                    </a:solidFill>
                    <a:latin typeface="+mn-lt"/>
                  </a:defRPr>
                </a:pPr>
                <a:endParaRPr lang="fi-FI"/>
              </a:p>
            </c:rich>
          </c:tx>
          <c:overlay val="0"/>
        </c:title>
        <c:numFmt formatCode="General" sourceLinked="1"/>
        <c:majorTickMark val="none"/>
        <c:minorTickMark val="none"/>
        <c:tickLblPos val="nextTo"/>
        <c:txPr>
          <a:bodyPr/>
          <a:lstStyle/>
          <a:p>
            <a:pPr lvl="0">
              <a:defRPr sz="1000" b="0">
                <a:solidFill>
                  <a:srgbClr val="000000"/>
                </a:solidFill>
                <a:latin typeface="+mn-lt"/>
              </a:defRPr>
            </a:pPr>
            <a:endParaRPr lang="fi-FI"/>
          </a:p>
        </c:txPr>
        <c:crossAx val="692700464"/>
        <c:crosses val="autoZero"/>
        <c:auto val="1"/>
        <c:lblAlgn val="ctr"/>
        <c:lblOffset val="100"/>
        <c:noMultiLvlLbl val="1"/>
      </c:catAx>
      <c:valAx>
        <c:axId val="692700464"/>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fi-FI"/>
              </a:p>
            </c:rich>
          </c:tx>
          <c:overlay val="0"/>
        </c:title>
        <c:numFmt formatCode="0.00" sourceLinked="1"/>
        <c:majorTickMark val="none"/>
        <c:minorTickMark val="none"/>
        <c:tickLblPos val="nextTo"/>
        <c:spPr>
          <a:ln/>
        </c:spPr>
        <c:txPr>
          <a:bodyPr/>
          <a:lstStyle/>
          <a:p>
            <a:pPr lvl="0">
              <a:defRPr b="0">
                <a:solidFill>
                  <a:srgbClr val="000000"/>
                </a:solidFill>
                <a:latin typeface="+mn-lt"/>
              </a:defRPr>
            </a:pPr>
            <a:endParaRPr lang="fi-FI"/>
          </a:p>
        </c:txPr>
        <c:crossAx val="1783077255"/>
        <c:crosses val="autoZero"/>
        <c:crossBetween val="between"/>
      </c:valAx>
    </c:plotArea>
    <c:legend>
      <c:legendPos val="r"/>
      <c:overlay val="0"/>
      <c:txPr>
        <a:bodyPr/>
        <a:lstStyle/>
        <a:p>
          <a:pPr lvl="0">
            <a:defRPr b="0">
              <a:solidFill>
                <a:srgbClr val="1A1A1A"/>
              </a:solidFill>
              <a:latin typeface="+mn-lt"/>
            </a:defRPr>
          </a:pPr>
          <a:endParaRPr lang="fi-FI"/>
        </a:p>
      </c:txPr>
    </c:legend>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8" Type="http://schemas.openxmlformats.org/officeDocument/2006/relationships/chart" Target="../charts/chart13.xml"/><Relationship Id="rId3" Type="http://schemas.openxmlformats.org/officeDocument/2006/relationships/chart" Target="../charts/chart8.xml"/><Relationship Id="rId7" Type="http://schemas.openxmlformats.org/officeDocument/2006/relationships/chart" Target="../charts/chart12.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oneCellAnchor>
    <xdr:from>
      <xdr:col>7</xdr:col>
      <xdr:colOff>314325</xdr:colOff>
      <xdr:row>7</xdr:row>
      <xdr:rowOff>219075</xdr:rowOff>
    </xdr:from>
    <xdr:ext cx="1809750" cy="1200150"/>
    <xdr:pic>
      <xdr:nvPicPr>
        <xdr:cNvPr id="2" name="image3.jpg" title="Kuva"/>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10</xdr:col>
      <xdr:colOff>76200</xdr:colOff>
      <xdr:row>7</xdr:row>
      <xdr:rowOff>219075</xdr:rowOff>
    </xdr:from>
    <xdr:ext cx="3771900" cy="1114425"/>
    <xdr:pic>
      <xdr:nvPicPr>
        <xdr:cNvPr id="3" name="image1.png" title="Kuva"/>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8</xdr:col>
      <xdr:colOff>133350</xdr:colOff>
      <xdr:row>14</xdr:row>
      <xdr:rowOff>95250</xdr:rowOff>
    </xdr:from>
    <xdr:ext cx="5467350" cy="981075"/>
    <xdr:pic>
      <xdr:nvPicPr>
        <xdr:cNvPr id="4" name="image2.png" title="Kuva"/>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5</xdr:col>
      <xdr:colOff>171450</xdr:colOff>
      <xdr:row>3</xdr:row>
      <xdr:rowOff>142875</xdr:rowOff>
    </xdr:from>
    <xdr:ext cx="3867150" cy="2390775"/>
    <xdr:graphicFrame macro="">
      <xdr:nvGraphicFramePr>
        <xdr:cNvPr id="2" name="Chart 1" title="Kaavi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5</xdr:col>
      <xdr:colOff>114300</xdr:colOff>
      <xdr:row>30</xdr:row>
      <xdr:rowOff>0</xdr:rowOff>
    </xdr:from>
    <xdr:ext cx="3924300" cy="2390775"/>
    <xdr:graphicFrame macro="">
      <xdr:nvGraphicFramePr>
        <xdr:cNvPr id="3" name="Chart 2" title="Kaavi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5</xdr:col>
      <xdr:colOff>114300</xdr:colOff>
      <xdr:row>17</xdr:row>
      <xdr:rowOff>9525</xdr:rowOff>
    </xdr:from>
    <xdr:ext cx="3981450" cy="2390775"/>
    <xdr:graphicFrame macro="">
      <xdr:nvGraphicFramePr>
        <xdr:cNvPr id="4" name="Chart 3" title="Kaavi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oneCellAnchor>
  <xdr:oneCellAnchor>
    <xdr:from>
      <xdr:col>9</xdr:col>
      <xdr:colOff>190500</xdr:colOff>
      <xdr:row>17</xdr:row>
      <xdr:rowOff>9525</xdr:rowOff>
    </xdr:from>
    <xdr:ext cx="4124325" cy="2466975"/>
    <xdr:graphicFrame macro="">
      <xdr:nvGraphicFramePr>
        <xdr:cNvPr id="5" name="Chart 4" title="Kaavi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oneCellAnchor>
  <xdr:oneCellAnchor>
    <xdr:from>
      <xdr:col>13</xdr:col>
      <xdr:colOff>781050</xdr:colOff>
      <xdr:row>16</xdr:row>
      <xdr:rowOff>142875</xdr:rowOff>
    </xdr:from>
    <xdr:ext cx="4124325" cy="2505075"/>
    <xdr:graphicFrame macro="">
      <xdr:nvGraphicFramePr>
        <xdr:cNvPr id="6" name="Chart 5" title="Kaavi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oneCellAnchor>
</xdr:wsDr>
</file>

<file path=xl/drawings/drawing3.xml><?xml version="1.0" encoding="utf-8"?>
<xdr:wsDr xmlns:xdr="http://schemas.openxmlformats.org/drawingml/2006/spreadsheetDrawing" xmlns:a="http://schemas.openxmlformats.org/drawingml/2006/main">
  <xdr:oneCellAnchor>
    <xdr:from>
      <xdr:col>16</xdr:col>
      <xdr:colOff>85725</xdr:colOff>
      <xdr:row>39</xdr:row>
      <xdr:rowOff>0</xdr:rowOff>
    </xdr:from>
    <xdr:ext cx="5334000" cy="5314950"/>
    <xdr:graphicFrame macro="">
      <xdr:nvGraphicFramePr>
        <xdr:cNvPr id="6" name="Chart 6" titl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6</xdr:col>
      <xdr:colOff>866775</xdr:colOff>
      <xdr:row>4</xdr:row>
      <xdr:rowOff>0</xdr:rowOff>
    </xdr:from>
    <xdr:ext cx="1590675" cy="971550"/>
    <xdr:graphicFrame macro="">
      <xdr:nvGraphicFramePr>
        <xdr:cNvPr id="7" name="Chart 7" title="Kaavi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6</xdr:col>
      <xdr:colOff>257175</xdr:colOff>
      <xdr:row>9</xdr:row>
      <xdr:rowOff>152400</xdr:rowOff>
    </xdr:from>
    <xdr:ext cx="1895475" cy="1181100"/>
    <xdr:graphicFrame macro="">
      <xdr:nvGraphicFramePr>
        <xdr:cNvPr id="8" name="Chart 8" title="Kaavi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oneCellAnchor>
  <xdr:oneCellAnchor>
    <xdr:from>
      <xdr:col>10</xdr:col>
      <xdr:colOff>1266825</xdr:colOff>
      <xdr:row>13</xdr:row>
      <xdr:rowOff>133350</xdr:rowOff>
    </xdr:from>
    <xdr:ext cx="2085975" cy="1257300"/>
    <xdr:graphicFrame macro="">
      <xdr:nvGraphicFramePr>
        <xdr:cNvPr id="9" name="Chart 9" title="Kaavi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oneCellAnchor>
  <xdr:oneCellAnchor>
    <xdr:from>
      <xdr:col>6</xdr:col>
      <xdr:colOff>257175</xdr:colOff>
      <xdr:row>20</xdr:row>
      <xdr:rowOff>142875</xdr:rowOff>
    </xdr:from>
    <xdr:ext cx="2238375" cy="1381125"/>
    <xdr:graphicFrame macro="">
      <xdr:nvGraphicFramePr>
        <xdr:cNvPr id="10" name="Chart 10" title="Kaavi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oneCellAnchor>
  <xdr:oneCellAnchor>
    <xdr:from>
      <xdr:col>4</xdr:col>
      <xdr:colOff>1314450</xdr:colOff>
      <xdr:row>27</xdr:row>
      <xdr:rowOff>104775</xdr:rowOff>
    </xdr:from>
    <xdr:ext cx="2085975" cy="1314450"/>
    <xdr:graphicFrame macro="">
      <xdr:nvGraphicFramePr>
        <xdr:cNvPr id="11" name="Chart 11" title="Kaavi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oneCellAnchor>
  <xdr:oneCellAnchor>
    <xdr:from>
      <xdr:col>6</xdr:col>
      <xdr:colOff>152400</xdr:colOff>
      <xdr:row>31</xdr:row>
      <xdr:rowOff>152400</xdr:rowOff>
    </xdr:from>
    <xdr:ext cx="2447925" cy="1476375"/>
    <xdr:graphicFrame macro="">
      <xdr:nvGraphicFramePr>
        <xdr:cNvPr id="12" name="Chart 12" title="Kaavi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oneCellAnchor>
  <xdr:oneCellAnchor>
    <xdr:from>
      <xdr:col>16</xdr:col>
      <xdr:colOff>85725</xdr:colOff>
      <xdr:row>27</xdr:row>
      <xdr:rowOff>152400</xdr:rowOff>
    </xdr:from>
    <xdr:ext cx="2343150" cy="2133600"/>
    <xdr:graphicFrame macro="">
      <xdr:nvGraphicFramePr>
        <xdr:cNvPr id="13" name="Chart 13" titl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fLocksWithSheet="0"/>
  </xdr:oneCellAnchor>
  <xdr:oneCellAnchor>
    <xdr:from>
      <xdr:col>18</xdr:col>
      <xdr:colOff>866775</xdr:colOff>
      <xdr:row>27</xdr:row>
      <xdr:rowOff>152400</xdr:rowOff>
    </xdr:from>
    <xdr:ext cx="3790950" cy="2343150"/>
    <xdr:graphicFrame macro="">
      <xdr:nvGraphicFramePr>
        <xdr:cNvPr id="14" name="Chart 14" titl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fLocksWithSheet="0"/>
  </xdr:oneCellAnchor>
  <xdr:oneCellAnchor>
    <xdr:from>
      <xdr:col>11</xdr:col>
      <xdr:colOff>1038225</xdr:colOff>
      <xdr:row>56</xdr:row>
      <xdr:rowOff>142875</xdr:rowOff>
    </xdr:from>
    <xdr:ext cx="6353175" cy="3933825"/>
    <xdr:graphicFrame macro="">
      <xdr:nvGraphicFramePr>
        <xdr:cNvPr id="15" name="Chart 15" titl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hyperlink" Target="https://www.hsl.fi/sites/default/files/hsl_julkaisu_9_2019_netti.pdf" TargetMode="External"/><Relationship Id="rId2" Type="http://schemas.openxmlformats.org/officeDocument/2006/relationships/hyperlink" Target="https://www.hsl.fi/sites/default/files/hsl_julkaisu_9_2019_netti.pdf" TargetMode="External"/><Relationship Id="rId1" Type="http://schemas.openxmlformats.org/officeDocument/2006/relationships/hyperlink" Target="https://www.hsl.fi/sites/default/files/hsl_julkaisu_9_2019_netti.pdf" TargetMode="External"/><Relationship Id="rId6" Type="http://schemas.openxmlformats.org/officeDocument/2006/relationships/hyperlink" Target="https://www.ilmatieteenlaitos.fi/talvitilastot" TargetMode="External"/><Relationship Id="rId5" Type="http://schemas.openxmlformats.org/officeDocument/2006/relationships/hyperlink" Target="https://www.jhl.fi/tyoelama/tyoehtosopimukset/kvtes/tyoaika-kunnissa/" TargetMode="External"/><Relationship Id="rId4" Type="http://schemas.openxmlformats.org/officeDocument/2006/relationships/hyperlink" Target="https://www.jhl.fi/tyoelama/tyoehtosopimukset/kvtes/tyoaika-kunnissa/"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julkaisu.hsy.fi/vesihuollon-hinnasto-ja-palvelumaksuhinnasto-2020.html" TargetMode="External"/><Relationship Id="rId2" Type="http://schemas.openxmlformats.org/officeDocument/2006/relationships/hyperlink" Target="https://julkaisu.hsy.fi/vesihuollon-hinnasto-ja-palvelumaksuhinnasto-2020.html" TargetMode="External"/><Relationship Id="rId1" Type="http://schemas.openxmlformats.org/officeDocument/2006/relationships/hyperlink" Target="https://julkaisu.hsy.fi/vesihuollon-hinnasto-ja-palvelumaksuhinnasto-2020.html"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gigantti.fi/product/kodinkoneet/pyykinpesukoneet/WAT284E9SN/bosch-pyykinpesukone-wat284e9sn" TargetMode="External"/><Relationship Id="rId13" Type="http://schemas.openxmlformats.org/officeDocument/2006/relationships/hyperlink" Target="https://www.gigantti.fi/product/kodinkoneet/pyykinpesukoneet/AWE7100/whirlpool-pyykinpesukone-awe7100-valkoinen" TargetMode="External"/><Relationship Id="rId18" Type="http://schemas.openxmlformats.org/officeDocument/2006/relationships/hyperlink" Target="https://www.gigantti.fi/product/kodinkoneet/kuivausrummut/47133/asko-professional-kuivausrumpu-tdc111-cg" TargetMode="External"/><Relationship Id="rId3" Type="http://schemas.openxmlformats.org/officeDocument/2006/relationships/hyperlink" Target="https://www.gigantti.fi/product/kodinkoneet/kuivauskaappi/DC3500TWR/electrolux-kuivauskaappi-dc3500twr-valkoinen" TargetMode="External"/><Relationship Id="rId21" Type="http://schemas.openxmlformats.org/officeDocument/2006/relationships/hyperlink" Target="https://www.prisma.fi/fi/prisma/candy-aqua-pesukone-1142d1-2-s" TargetMode="External"/><Relationship Id="rId7" Type="http://schemas.openxmlformats.org/officeDocument/2006/relationships/hyperlink" Target="https://www.power.fi/kodinkoneet/kuivaus-ja-hoyrykaapit/electrolux-dc4600hpwr-kuivauskaappi/p-556286/?gclid=Cj0KCQjw28T8BRDbARIsAEOMBcwqmAL-ThA0YIcq8Yk-FGUv17n_Fyx2IqXOsznjnQc6bqHuEaR7yMAaAteaEALw_wcB&amp;gclsrc=aw.ds" TargetMode="External"/><Relationship Id="rId12" Type="http://schemas.openxmlformats.org/officeDocument/2006/relationships/hyperlink" Target="https://www.gigantti.fi/product/kodinkoneet/kuivausrummut/17473/electrolux-perfectcare-800-kuivausrumpu-ew8h648g7" TargetMode="External"/><Relationship Id="rId17" Type="http://schemas.openxmlformats.org/officeDocument/2006/relationships/hyperlink" Target="https://www.hobbyhall.fi/fi/koti-ja-keittio/kodinkoneet/pesukoneet-ja-kuivausrummut/edesta-taytettavat-pesukoneet/pesukoneet-beko-wte5511b0-valkoinen_f18dc7df/" TargetMode="External"/><Relationship Id="rId2" Type="http://schemas.openxmlformats.org/officeDocument/2006/relationships/hyperlink" Target="https://www.gigantti.fi/product/kodinkoneet/kuivausrummut/26290/lg-kuivausrumpu-fdrc308n0w9?utm_id=04e2tc&amp;utm_source=google_search&amp;utm_medium=sem&amp;utm_campaign=b2c-nor-adwords-lg-jm-508&amp;gclid=Cj0KCQjw28T8BRDbARIsAEOMBczjorvIJzB3W9Clf_RiGF_E1PHINtKc4GSwOyE2ramD7XRdTurzdhcaAjHzEALw_wcB" TargetMode="External"/><Relationship Id="rId16" Type="http://schemas.openxmlformats.org/officeDocument/2006/relationships/hyperlink" Target="https://www.gigantti.fi/product/kodinkoneet/kuivausrummut/EW6C428B2/electrolux-perfectcare-600-kuivausrumpu-ew6c428b2" TargetMode="External"/><Relationship Id="rId20" Type="http://schemas.openxmlformats.org/officeDocument/2006/relationships/hyperlink" Target="https://www.hobbyhall.fi/fi/koti-ja-keittio/kodinkoneet/pesukoneet-ja-kuivausrummut/edesta-taytettavat-pesukoneet/electrolux-ewc1350-pyykinpesukone-ewc1350_8a4ea6d4/" TargetMode="External"/><Relationship Id="rId1" Type="http://schemas.openxmlformats.org/officeDocument/2006/relationships/hyperlink" Target="https://www.miele.fi/c/pyykinpesukoneet-1566.htm?mat=09686670&amp;name=W_668_F" TargetMode="External"/><Relationship Id="rId6" Type="http://schemas.openxmlformats.org/officeDocument/2006/relationships/hyperlink" Target="https://www.gigantti.fi/product/kodinkoneet/kuivausrummut/109575/miele-kuivausrumpu-teb155wpfin" TargetMode="External"/><Relationship Id="rId11" Type="http://schemas.openxmlformats.org/officeDocument/2006/relationships/hyperlink" Target="https://www.gigantti.fi/product/kodinkoneet/pyykinpesukoneet/27518/whirlpool-pyykinpesukone-dst7000" TargetMode="External"/><Relationship Id="rId5" Type="http://schemas.openxmlformats.org/officeDocument/2006/relationships/hyperlink" Target="https://www.gigantti.fi/product/kodinkoneet/pyykinpesukoneet/26284/lg-pyykinpesukone-fc50tns0" TargetMode="External"/><Relationship Id="rId15" Type="http://schemas.openxmlformats.org/officeDocument/2006/relationships/hyperlink" Target="https://www.gigantti.fi/product/kodinkoneet/pyykinpesukoneet/188520/logik-pesukone-l612wm20e" TargetMode="External"/><Relationship Id="rId10" Type="http://schemas.openxmlformats.org/officeDocument/2006/relationships/hyperlink" Target="https://www.electrolux.fi/laundry/laundry/drying-cabinets/drying-cabinet/dc3600ewr2/" TargetMode="External"/><Relationship Id="rId19" Type="http://schemas.openxmlformats.org/officeDocument/2006/relationships/hyperlink" Target="https://www.hobbyhall.fi/fi/koti-ja-keittio/kodinkoneet/pesukoneet-ja-kuivausrummut/edesta-taytettavat-pesukoneet/indesit-iwsnc-51051x9-eu-pesukone-vapaasti-seisova-edesta-taytettava-valkoinen-5-kg-1000-rpm-a_cf1b2ce5/" TargetMode="External"/><Relationship Id="rId4" Type="http://schemas.openxmlformats.org/officeDocument/2006/relationships/hyperlink" Target="https://energiaa.savonvoima.fi/pyykin-kuivaus-ulkona-ei-maksa-mitaan/" TargetMode="External"/><Relationship Id="rId9" Type="http://schemas.openxmlformats.org/officeDocument/2006/relationships/hyperlink" Target="https://www.gigantti.fi/product/kodinkoneet/kuivausrummut/CSC7LFS/candy-smart-kuivausrumpu-csc7lfs" TargetMode="External"/><Relationship Id="rId14" Type="http://schemas.openxmlformats.org/officeDocument/2006/relationships/hyperlink" Target="https://www.gigantti.fi/product/kodinkoneet/kuivausrummut/EDE1072PDW/electrolux-inspiration-kuivausrumpu-ede1072pdw"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8" Type="http://schemas.openxmlformats.org/officeDocument/2006/relationships/hyperlink" Target="http://lipasto.vtt.fi/yksikkopaastot/tavaraliikenne/tieliikenne/tavara_tie.htm" TargetMode="External"/><Relationship Id="rId13" Type="http://schemas.openxmlformats.org/officeDocument/2006/relationships/hyperlink" Target="https://www.ttl.fi/ova/diesel.html" TargetMode="External"/><Relationship Id="rId18" Type="http://schemas.openxmlformats.org/officeDocument/2006/relationships/hyperlink" Target="https://www.vttresearch.com/sites/default/files/pdf/technology/2016/T258.pdf" TargetMode="External"/><Relationship Id="rId3" Type="http://schemas.openxmlformats.org/officeDocument/2006/relationships/hyperlink" Target="http://lipasto.vtt.fi/yksikkopaastot/henkiloliikenne/tieliikenne/henkiloautot/hakeskimaarin.htm" TargetMode="External"/><Relationship Id="rId21" Type="http://schemas.openxmlformats.org/officeDocument/2006/relationships/hyperlink" Target="https://www.ilmastopaneeli.fi/autokalkulaattori/" TargetMode="External"/><Relationship Id="rId7" Type="http://schemas.openxmlformats.org/officeDocument/2006/relationships/hyperlink" Target="http://lipasto.vtt.fi/yksikkopaastot/tavaraliikenne/tieliikenne/tavara_tie.htm" TargetMode="External"/><Relationship Id="rId12" Type="http://schemas.openxmlformats.org/officeDocument/2006/relationships/hyperlink" Target="http://lipasto.vtt.fi/yksikkopaastot/tunnusluvut/tunnusluvuttie.htm" TargetMode="External"/><Relationship Id="rId17" Type="http://schemas.openxmlformats.org/officeDocument/2006/relationships/hyperlink" Target="https://www.vttresearch.com/sites/default/files/pdf/technology/2016/T258.pdf" TargetMode="External"/><Relationship Id="rId2" Type="http://schemas.openxmlformats.org/officeDocument/2006/relationships/hyperlink" Target="http://lipasto.vtt.fi/yksikkopaastot/henkiloliikenne/tieliikenne/linja-autot/bussilinjaautokeskimaarin.htm" TargetMode="External"/><Relationship Id="rId16" Type="http://schemas.openxmlformats.org/officeDocument/2006/relationships/hyperlink" Target="https://www.helen.fi/helen-oy/energia/energiantuotanto/sahkon-ja-lammon-ominaispaastot" TargetMode="External"/><Relationship Id="rId20" Type="http://schemas.openxmlformats.org/officeDocument/2006/relationships/hyperlink" Target="https://www.stat.fi/fi/luokitukset/polttoaineet/" TargetMode="External"/><Relationship Id="rId1" Type="http://schemas.openxmlformats.org/officeDocument/2006/relationships/hyperlink" Target="http://lipasto.vtt.fi/yksikkopaastot/henkiloliikenne/tieliikenne/linja-autot/bussilinjaautokeskimaarin.htm" TargetMode="External"/><Relationship Id="rId6" Type="http://schemas.openxmlformats.org/officeDocument/2006/relationships/hyperlink" Target="http://lipasto.vtt.fi/yksikkopaastot/tavaraliikenne/tieliikenne/tavara_tie.htm" TargetMode="External"/><Relationship Id="rId11" Type="http://schemas.openxmlformats.org/officeDocument/2006/relationships/hyperlink" Target="https://ec.europa.eu/energy/sites/ener/files/documents/Study%20on%20Actual%20GHG%20Data%20Oil%20Gas%20Final%20Report.pdf" TargetMode="External"/><Relationship Id="rId5" Type="http://schemas.openxmlformats.org/officeDocument/2006/relationships/hyperlink" Target="http://lipasto.vtt.fi/yksikkopaastot/tavaraliikenne/tieliikenne/tavara_tie.htm" TargetMode="External"/><Relationship Id="rId15" Type="http://schemas.openxmlformats.org/officeDocument/2006/relationships/hyperlink" Target="https://www.motiva.fi/ratkaisut/energiankaytto_suomessa/co2-laskentaohje_energiankulutuksen_hiilidioksidipaastojen_laskentaan/co2-paastokertoimet" TargetMode="External"/><Relationship Id="rId10" Type="http://schemas.openxmlformats.org/officeDocument/2006/relationships/hyperlink" Target="http://lipasto.vtt.fi/yksikkopaastot/tavaraliikenne/tieliikenne/tavara_tie.htm" TargetMode="External"/><Relationship Id="rId19" Type="http://schemas.openxmlformats.org/officeDocument/2006/relationships/hyperlink" Target="https://www.unitrove.com/engineering/tools/gas/natural-gas-density" TargetMode="External"/><Relationship Id="rId4" Type="http://schemas.openxmlformats.org/officeDocument/2006/relationships/hyperlink" Target="http://lipasto.vtt.fi/yksikkopaastot/henkiloliikenne/tieliikenne/henkiloautot/hakeskimaarin.htm" TargetMode="External"/><Relationship Id="rId9" Type="http://schemas.openxmlformats.org/officeDocument/2006/relationships/hyperlink" Target="http://lipasto.vtt.fi/yksikkopaastot/tavaraliikenne/tieliikenne/tavara_tie.htm" TargetMode="External"/><Relationship Id="rId14" Type="http://schemas.openxmlformats.org/officeDocument/2006/relationships/hyperlink" Target="http://uni-obuda.hu/users/grollerg/LCA/hazidolgozathoz/lca-electricity%20generation%20technologies.pdf" TargetMode="External"/><Relationship Id="rId22" Type="http://schemas.openxmlformats.org/officeDocument/2006/relationships/hyperlink" Target="https://www.unitrove.com/engineering/tools/gas/natural-gas-densit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P29"/>
  <sheetViews>
    <sheetView showGridLines="0" tabSelected="1" zoomScale="71" workbookViewId="0">
      <selection activeCell="I2" sqref="I2:J4"/>
    </sheetView>
  </sheetViews>
  <sheetFormatPr defaultColWidth="14.453125" defaultRowHeight="15.75" customHeight="1"/>
  <cols>
    <col min="7" max="7" width="7.36328125" customWidth="1"/>
    <col min="8" max="8" width="5.08984375" customWidth="1"/>
  </cols>
  <sheetData>
    <row r="1" spans="1:16" ht="15.75" customHeight="1">
      <c r="A1" s="301" t="s">
        <v>0</v>
      </c>
      <c r="B1" s="302"/>
      <c r="C1" s="302"/>
      <c r="I1" s="303" t="s">
        <v>1</v>
      </c>
      <c r="J1" s="302"/>
    </row>
    <row r="2" spans="1:16" ht="12.5">
      <c r="A2" s="304" t="s">
        <v>2</v>
      </c>
      <c r="B2" s="305"/>
      <c r="C2" s="305"/>
      <c r="D2" s="305"/>
      <c r="E2" s="305"/>
      <c r="F2" s="305"/>
      <c r="G2" s="306"/>
      <c r="I2" s="312">
        <v>44183</v>
      </c>
      <c r="J2" s="302"/>
    </row>
    <row r="3" spans="1:16" ht="12.5">
      <c r="A3" s="307"/>
      <c r="B3" s="302"/>
      <c r="C3" s="302"/>
      <c r="D3" s="302"/>
      <c r="E3" s="302"/>
      <c r="F3" s="302"/>
      <c r="G3" s="308"/>
      <c r="I3" s="302"/>
      <c r="J3" s="302"/>
    </row>
    <row r="4" spans="1:16" ht="12.5">
      <c r="A4" s="307"/>
      <c r="B4" s="302"/>
      <c r="C4" s="302"/>
      <c r="D4" s="302"/>
      <c r="E4" s="302"/>
      <c r="F4" s="302"/>
      <c r="G4" s="308"/>
      <c r="I4" s="302"/>
      <c r="J4" s="302"/>
    </row>
    <row r="5" spans="1:16" ht="12.5">
      <c r="A5" s="307"/>
      <c r="B5" s="302"/>
      <c r="C5" s="302"/>
      <c r="D5" s="302"/>
      <c r="E5" s="302"/>
      <c r="F5" s="302"/>
      <c r="G5" s="308"/>
    </row>
    <row r="6" spans="1:16" ht="12.5">
      <c r="A6" s="309"/>
      <c r="B6" s="310"/>
      <c r="C6" s="310"/>
      <c r="D6" s="310"/>
      <c r="E6" s="310"/>
      <c r="F6" s="310"/>
      <c r="G6" s="311"/>
    </row>
    <row r="8" spans="1:16" ht="15.75" customHeight="1">
      <c r="A8" s="301" t="s">
        <v>3</v>
      </c>
      <c r="B8" s="302"/>
      <c r="C8" s="302"/>
      <c r="D8" s="302"/>
      <c r="E8" s="302"/>
      <c r="F8" s="302"/>
      <c r="G8" s="302"/>
    </row>
    <row r="9" spans="1:16" ht="12.5">
      <c r="A9" s="304" t="s">
        <v>4</v>
      </c>
      <c r="B9" s="305"/>
      <c r="C9" s="305"/>
      <c r="D9" s="305"/>
      <c r="E9" s="305"/>
      <c r="F9" s="305"/>
      <c r="G9" s="306"/>
    </row>
    <row r="10" spans="1:16" ht="12.5">
      <c r="A10" s="309"/>
      <c r="B10" s="310"/>
      <c r="C10" s="310"/>
      <c r="D10" s="310"/>
      <c r="E10" s="310"/>
      <c r="F10" s="310"/>
      <c r="G10" s="311"/>
    </row>
    <row r="11" spans="1:16" ht="12.5">
      <c r="A11" s="313" t="s">
        <v>5</v>
      </c>
      <c r="B11" s="305"/>
      <c r="C11" s="305"/>
      <c r="D11" s="305"/>
      <c r="E11" s="305"/>
      <c r="F11" s="305"/>
      <c r="G11" s="306"/>
    </row>
    <row r="12" spans="1:16" ht="12.5">
      <c r="A12" s="309"/>
      <c r="B12" s="310"/>
      <c r="C12" s="310"/>
      <c r="D12" s="310"/>
      <c r="E12" s="310"/>
      <c r="F12" s="310"/>
      <c r="G12" s="311"/>
    </row>
    <row r="13" spans="1:16" ht="12.5">
      <c r="A13" s="313" t="s">
        <v>6</v>
      </c>
      <c r="B13" s="305"/>
      <c r="C13" s="305"/>
      <c r="D13" s="305"/>
      <c r="E13" s="305"/>
      <c r="F13" s="305"/>
      <c r="G13" s="306"/>
    </row>
    <row r="14" spans="1:16" ht="12.5">
      <c r="A14" s="309"/>
      <c r="B14" s="310"/>
      <c r="C14" s="310"/>
      <c r="D14" s="310"/>
      <c r="E14" s="310"/>
      <c r="F14" s="310"/>
      <c r="G14" s="311"/>
      <c r="H14" s="2"/>
      <c r="I14" s="2"/>
      <c r="J14" s="2"/>
      <c r="K14" s="2"/>
      <c r="L14" s="2"/>
      <c r="M14" s="2"/>
      <c r="N14" s="2"/>
      <c r="O14" s="2"/>
      <c r="P14" s="2"/>
    </row>
    <row r="15" spans="1:16" ht="12.5">
      <c r="A15" s="313" t="s">
        <v>7</v>
      </c>
      <c r="B15" s="305"/>
      <c r="C15" s="305"/>
      <c r="D15" s="305"/>
      <c r="E15" s="305"/>
      <c r="F15" s="305"/>
      <c r="G15" s="306"/>
      <c r="H15" s="2"/>
      <c r="I15" s="2"/>
      <c r="J15" s="2"/>
      <c r="K15" s="2"/>
      <c r="L15" s="2"/>
      <c r="M15" s="2"/>
      <c r="N15" s="2"/>
      <c r="O15" s="2"/>
      <c r="P15" s="2"/>
    </row>
    <row r="16" spans="1:16" ht="12.5">
      <c r="A16" s="309"/>
      <c r="B16" s="310"/>
      <c r="C16" s="310"/>
      <c r="D16" s="310"/>
      <c r="E16" s="310"/>
      <c r="F16" s="310"/>
      <c r="G16" s="311"/>
      <c r="H16" s="2"/>
      <c r="I16" s="2"/>
      <c r="J16" s="2"/>
      <c r="K16" s="2"/>
      <c r="L16" s="2"/>
      <c r="M16" s="2"/>
      <c r="N16" s="2"/>
      <c r="O16" s="2"/>
      <c r="P16" s="2"/>
    </row>
    <row r="17" spans="1:16" ht="12.5">
      <c r="A17" s="313" t="s">
        <v>8</v>
      </c>
      <c r="B17" s="305"/>
      <c r="C17" s="305"/>
      <c r="D17" s="305"/>
      <c r="E17" s="305"/>
      <c r="F17" s="305"/>
      <c r="G17" s="306"/>
      <c r="H17" s="2"/>
      <c r="I17" s="2"/>
      <c r="J17" s="2"/>
      <c r="K17" s="2"/>
      <c r="L17" s="2"/>
      <c r="M17" s="2"/>
      <c r="N17" s="2"/>
      <c r="O17" s="2"/>
      <c r="P17" s="2"/>
    </row>
    <row r="18" spans="1:16" ht="12.5">
      <c r="A18" s="309"/>
      <c r="B18" s="310"/>
      <c r="C18" s="310"/>
      <c r="D18" s="310"/>
      <c r="E18" s="310"/>
      <c r="F18" s="310"/>
      <c r="G18" s="311"/>
      <c r="H18" s="2"/>
      <c r="I18" s="2"/>
      <c r="J18" s="2"/>
      <c r="K18" s="2"/>
      <c r="L18" s="2"/>
      <c r="M18" s="2"/>
      <c r="N18" s="2"/>
      <c r="O18" s="2"/>
      <c r="P18" s="2"/>
    </row>
    <row r="19" spans="1:16" ht="12.5">
      <c r="A19" s="314" t="s">
        <v>9</v>
      </c>
      <c r="B19" s="305"/>
      <c r="C19" s="305"/>
      <c r="D19" s="305"/>
      <c r="E19" s="305"/>
      <c r="F19" s="305"/>
      <c r="G19" s="306"/>
      <c r="H19" s="2"/>
      <c r="I19" s="2"/>
      <c r="J19" s="2"/>
      <c r="K19" s="2"/>
      <c r="L19" s="2"/>
      <c r="M19" s="2"/>
      <c r="N19" s="2"/>
      <c r="O19" s="2"/>
      <c r="P19" s="2"/>
    </row>
    <row r="20" spans="1:16" ht="12.5">
      <c r="A20" s="309"/>
      <c r="B20" s="310"/>
      <c r="C20" s="310"/>
      <c r="D20" s="310"/>
      <c r="E20" s="310"/>
      <c r="F20" s="310"/>
      <c r="G20" s="311"/>
      <c r="H20" s="2"/>
      <c r="I20" s="2"/>
      <c r="J20" s="2"/>
      <c r="K20" s="2"/>
      <c r="L20" s="2"/>
      <c r="M20" s="2"/>
      <c r="N20" s="2"/>
      <c r="O20" s="2"/>
      <c r="P20" s="2"/>
    </row>
    <row r="21" spans="1:16" ht="12.5">
      <c r="A21" s="314" t="s">
        <v>10</v>
      </c>
      <c r="B21" s="305"/>
      <c r="C21" s="305"/>
      <c r="D21" s="305"/>
      <c r="E21" s="305"/>
      <c r="F21" s="305"/>
      <c r="G21" s="306"/>
      <c r="H21" s="2"/>
      <c r="I21" s="2"/>
      <c r="J21" s="2"/>
      <c r="K21" s="2"/>
      <c r="L21" s="2"/>
      <c r="M21" s="2"/>
      <c r="N21" s="2"/>
      <c r="O21" s="2"/>
      <c r="P21" s="2"/>
    </row>
    <row r="22" spans="1:16" ht="12.5">
      <c r="A22" s="309"/>
      <c r="B22" s="310"/>
      <c r="C22" s="310"/>
      <c r="D22" s="310"/>
      <c r="E22" s="310"/>
      <c r="F22" s="310"/>
      <c r="G22" s="311"/>
      <c r="H22" s="2"/>
      <c r="I22" s="2"/>
      <c r="J22" s="2"/>
      <c r="K22" s="2"/>
      <c r="L22" s="2"/>
      <c r="M22" s="2"/>
      <c r="N22" s="2"/>
      <c r="O22" s="2"/>
      <c r="P22" s="2"/>
    </row>
    <row r="23" spans="1:16" ht="12.5">
      <c r="A23" s="314" t="s">
        <v>11</v>
      </c>
      <c r="B23" s="305"/>
      <c r="C23" s="305"/>
      <c r="D23" s="305"/>
      <c r="E23" s="305"/>
      <c r="F23" s="305"/>
      <c r="G23" s="306"/>
    </row>
    <row r="24" spans="1:16" ht="12.5">
      <c r="A24" s="309"/>
      <c r="B24" s="310"/>
      <c r="C24" s="310"/>
      <c r="D24" s="310"/>
      <c r="E24" s="310"/>
      <c r="F24" s="310"/>
      <c r="G24" s="311"/>
    </row>
    <row r="25" spans="1:16" ht="12.5">
      <c r="A25" s="304" t="s">
        <v>12</v>
      </c>
      <c r="B25" s="305"/>
      <c r="C25" s="305"/>
      <c r="D25" s="305"/>
      <c r="E25" s="305"/>
      <c r="F25" s="305"/>
      <c r="G25" s="306"/>
    </row>
    <row r="26" spans="1:16" ht="12.5">
      <c r="A26" s="309"/>
      <c r="B26" s="310"/>
      <c r="C26" s="310"/>
      <c r="D26" s="310"/>
      <c r="E26" s="310"/>
      <c r="F26" s="310"/>
      <c r="G26" s="311"/>
    </row>
    <row r="27" spans="1:16" ht="12.5">
      <c r="A27" s="314" t="s">
        <v>13</v>
      </c>
      <c r="B27" s="305"/>
      <c r="C27" s="305"/>
      <c r="D27" s="305"/>
      <c r="E27" s="305"/>
      <c r="F27" s="305"/>
      <c r="G27" s="306"/>
    </row>
    <row r="28" spans="1:16" ht="12.5">
      <c r="A28" s="309"/>
      <c r="B28" s="310"/>
      <c r="C28" s="310"/>
      <c r="D28" s="310"/>
      <c r="E28" s="310"/>
      <c r="F28" s="310"/>
      <c r="G28" s="311"/>
    </row>
    <row r="29" spans="1:16" ht="12.5">
      <c r="A29" s="315" t="s">
        <v>14</v>
      </c>
      <c r="B29" s="316"/>
      <c r="C29" s="316"/>
      <c r="D29" s="316"/>
      <c r="E29" s="316"/>
      <c r="F29" s="316"/>
      <c r="G29" s="317"/>
    </row>
  </sheetData>
  <mergeCells count="16">
    <mergeCell ref="A9:G10"/>
    <mergeCell ref="A11:G12"/>
    <mergeCell ref="A27:G28"/>
    <mergeCell ref="A29:G29"/>
    <mergeCell ref="A13:G14"/>
    <mergeCell ref="A15:G16"/>
    <mergeCell ref="A17:G18"/>
    <mergeCell ref="A19:G20"/>
    <mergeCell ref="A21:G22"/>
    <mergeCell ref="A23:G24"/>
    <mergeCell ref="A25:G26"/>
    <mergeCell ref="A1:C1"/>
    <mergeCell ref="I1:J1"/>
    <mergeCell ref="A2:G6"/>
    <mergeCell ref="I2:J4"/>
    <mergeCell ref="A8:G8"/>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O54"/>
  <sheetViews>
    <sheetView topLeftCell="A8" zoomScale="68" workbookViewId="0">
      <selection sqref="A1:D4"/>
    </sheetView>
  </sheetViews>
  <sheetFormatPr defaultColWidth="14.453125" defaultRowHeight="15.75" customHeight="1"/>
  <cols>
    <col min="1" max="1" width="21.90625" customWidth="1"/>
    <col min="2" max="2" width="30.36328125" customWidth="1"/>
    <col min="3" max="3" width="28.36328125" customWidth="1"/>
    <col min="4" max="4" width="24.90625" customWidth="1"/>
    <col min="5" max="5" width="28.36328125" customWidth="1"/>
    <col min="6" max="6" width="33.36328125" customWidth="1"/>
    <col min="7" max="7" width="28.36328125" customWidth="1"/>
    <col min="8" max="8" width="24.54296875" customWidth="1"/>
    <col min="9" max="9" width="25.453125" customWidth="1"/>
    <col min="10" max="10" width="31.36328125" customWidth="1"/>
    <col min="11" max="11" width="27.453125" customWidth="1"/>
    <col min="12" max="12" width="23.453125" customWidth="1"/>
    <col min="13" max="13" width="37.90625" customWidth="1"/>
    <col min="14" max="14" width="10" customWidth="1"/>
    <col min="15" max="15" width="29.08984375" customWidth="1"/>
  </cols>
  <sheetData>
    <row r="1" spans="1:11" ht="15.75" customHeight="1">
      <c r="A1" s="370" t="s">
        <v>338</v>
      </c>
      <c r="B1" s="319"/>
      <c r="C1" s="319"/>
      <c r="D1" s="320"/>
    </row>
    <row r="2" spans="1:11" ht="15.75" customHeight="1">
      <c r="A2" s="321"/>
      <c r="B2" s="302"/>
      <c r="C2" s="302"/>
      <c r="D2" s="322"/>
    </row>
    <row r="3" spans="1:11" ht="15.75" customHeight="1">
      <c r="A3" s="321"/>
      <c r="B3" s="302"/>
      <c r="C3" s="302"/>
      <c r="D3" s="322"/>
    </row>
    <row r="4" spans="1:11" ht="15.75" customHeight="1">
      <c r="A4" s="323"/>
      <c r="B4" s="324"/>
      <c r="C4" s="324"/>
      <c r="D4" s="325"/>
    </row>
    <row r="6" spans="1:11">
      <c r="A6" s="5" t="str">
        <f>Lähtötiedot!B3</f>
        <v>Toimija 1</v>
      </c>
      <c r="B6" s="202" t="s">
        <v>339</v>
      </c>
      <c r="C6" s="202" t="s">
        <v>340</v>
      </c>
      <c r="D6" s="202" t="s">
        <v>341</v>
      </c>
      <c r="E6" s="202" t="s">
        <v>342</v>
      </c>
      <c r="F6" s="202" t="s">
        <v>343</v>
      </c>
    </row>
    <row r="7" spans="1:11">
      <c r="A7" s="5" t="str">
        <f>Lähtötiedot!C3</f>
        <v>Toimija 1 Talvivaate 1</v>
      </c>
      <c r="B7" s="33">
        <f>ROUND('Hiilijalanjälki ja veden kulutu'!D15,2)</f>
        <v>0.04</v>
      </c>
      <c r="C7" s="33">
        <f>ROUND('Hiilijalanjälki ja veden kulutu'!E15,2)</f>
        <v>7.0000000000000007E-2</v>
      </c>
      <c r="D7" s="33">
        <f>ROUND('Hiilijalanjälki ja veden kulutu'!F15,2)</f>
        <v>0.08</v>
      </c>
      <c r="E7" s="33">
        <f>ROUND('Hiilijalanjälki ja veden kulutu'!I15,2)</f>
        <v>0.09</v>
      </c>
      <c r="F7" s="33">
        <f>ROUND('Hiilijalanjälki ja veden kulutu'!J15,2)</f>
        <v>0.6</v>
      </c>
    </row>
    <row r="8" spans="1:11">
      <c r="A8" s="5" t="str">
        <f>Lähtötiedot!C4</f>
        <v>Toimija 1 Talvivaate 2</v>
      </c>
      <c r="B8" s="33">
        <f>ROUND('Hiilijalanjälki ja veden kulutu'!D24,2)</f>
        <v>0.04</v>
      </c>
      <c r="C8" s="33">
        <f>ROUND('Hiilijalanjälki ja veden kulutu'!E24,2)</f>
        <v>7.0000000000000007E-2</v>
      </c>
      <c r="D8" s="33">
        <f>ROUND('Hiilijalanjälki ja veden kulutu'!F24,2)</f>
        <v>0.08</v>
      </c>
      <c r="E8" s="33">
        <f>ROUND('Hiilijalanjälki ja veden kulutu'!I24,2)</f>
        <v>0.09</v>
      </c>
      <c r="F8" s="33">
        <f>ROUND('Hiilijalanjälki ja veden kulutu'!J24,2)</f>
        <v>0.6</v>
      </c>
    </row>
    <row r="9" spans="1:11" ht="15.75" customHeight="1">
      <c r="B9" s="13"/>
      <c r="C9" s="13"/>
      <c r="D9" s="13"/>
      <c r="E9" s="13"/>
      <c r="F9" s="13"/>
    </row>
    <row r="10" spans="1:11" ht="15.75" customHeight="1">
      <c r="B10" s="13"/>
      <c r="C10" s="13"/>
      <c r="D10" s="13"/>
      <c r="E10" s="13"/>
      <c r="F10" s="13"/>
    </row>
    <row r="11" spans="1:11">
      <c r="A11" s="5" t="str">
        <f>Lähtötiedot!B3</f>
        <v>Toimija 1</v>
      </c>
      <c r="B11" s="203" t="s">
        <v>344</v>
      </c>
      <c r="C11" s="203" t="s">
        <v>345</v>
      </c>
      <c r="D11" s="203" t="s">
        <v>346</v>
      </c>
      <c r="E11" s="203" t="s">
        <v>347</v>
      </c>
      <c r="F11" s="203" t="s">
        <v>348</v>
      </c>
    </row>
    <row r="12" spans="1:11">
      <c r="A12" s="5" t="str">
        <f>Lähtötiedot!C3</f>
        <v>Toimija 1 Talvivaate 1</v>
      </c>
      <c r="B12" s="33">
        <f ca="1">ROUND('Hiilijalanjälki ja veden kulutu'!D32,2)</f>
        <v>0.31</v>
      </c>
      <c r="C12" s="33">
        <f ca="1">ROUND('Hiilijalanjälki ja veden kulutu'!E32,2)</f>
        <v>1.91</v>
      </c>
      <c r="D12" s="33">
        <f ca="1">ROUND('Hiilijalanjälki ja veden kulutu'!F32,2)</f>
        <v>0</v>
      </c>
      <c r="E12" s="33">
        <f>ROUND('Hiilijalanjälki ja veden kulutu'!B32+'Hiilijalanjälki ja veden kulutu'!G32,2)</f>
        <v>0</v>
      </c>
      <c r="F12" s="33">
        <f>ROUND('Hiilijalanjälki ja veden kulutu'!C32+'Hiilijalanjälki ja veden kulutu'!H32,2)</f>
        <v>0</v>
      </c>
    </row>
    <row r="13" spans="1:11">
      <c r="A13" s="5" t="str">
        <f>Lähtötiedot!C4</f>
        <v>Toimija 1 Talvivaate 2</v>
      </c>
      <c r="B13" s="33">
        <f ca="1">ROUND('Hiilijalanjälki ja veden kulutu'!D39,2)</f>
        <v>0.31</v>
      </c>
      <c r="C13" s="33">
        <f ca="1">ROUND('Hiilijalanjälki ja veden kulutu'!E39,2)</f>
        <v>1.91</v>
      </c>
      <c r="D13" s="33">
        <f ca="1">ROUND('Hiilijalanjälki ja veden kulutu'!F39,2)</f>
        <v>0</v>
      </c>
      <c r="E13" s="33">
        <f>ROUND('Hiilijalanjälki ja veden kulutu'!B39+'Hiilijalanjälki ja veden kulutu'!G39,2)</f>
        <v>0</v>
      </c>
      <c r="F13" s="33">
        <f>ROUND('Hiilijalanjälki ja veden kulutu'!C39+'Hiilijalanjälki ja veden kulutu'!H39,2)</f>
        <v>0</v>
      </c>
    </row>
    <row r="14" spans="1:11">
      <c r="A14" s="204"/>
      <c r="B14" s="13"/>
      <c r="C14" s="13"/>
      <c r="D14" s="13"/>
      <c r="E14" s="13"/>
      <c r="F14" s="13"/>
    </row>
    <row r="15" spans="1:11">
      <c r="A15" s="5" t="str">
        <f>Lähtötiedot!B5</f>
        <v>Toimija 2</v>
      </c>
      <c r="B15" s="202" t="s">
        <v>339</v>
      </c>
      <c r="C15" s="202" t="s">
        <v>340</v>
      </c>
      <c r="D15" s="202" t="s">
        <v>341</v>
      </c>
      <c r="E15" s="202" t="s">
        <v>342</v>
      </c>
      <c r="F15" s="202" t="s">
        <v>343</v>
      </c>
      <c r="G15" s="202" t="s">
        <v>344</v>
      </c>
      <c r="H15" s="202" t="s">
        <v>345</v>
      </c>
      <c r="I15" s="202" t="s">
        <v>346</v>
      </c>
      <c r="J15" s="202" t="s">
        <v>347</v>
      </c>
      <c r="K15" s="202" t="s">
        <v>348</v>
      </c>
    </row>
    <row r="16" spans="1:11" ht="15.75" customHeight="1">
      <c r="A16" s="9" t="str">
        <f>Lähtötiedot!C5</f>
        <v>Toimija 2 vaate 1</v>
      </c>
      <c r="B16" s="33">
        <f>ROUND('Hiilijalanjälki ja veden kulutu'!D48,2)</f>
        <v>1.4</v>
      </c>
      <c r="C16" s="33">
        <f>ROUND('Hiilijalanjälki ja veden kulutu'!E48,2)</f>
        <v>2.59</v>
      </c>
      <c r="D16" s="33">
        <f>ROUND('Hiilijalanjälki ja veden kulutu'!F48,2)</f>
        <v>3</v>
      </c>
      <c r="E16" s="33">
        <f>ROUND('Hiilijalanjälki ja veden kulutu'!I48,2)</f>
        <v>1.4</v>
      </c>
      <c r="F16" s="33">
        <f>ROUND('Hiilijalanjälki ja veden kulutu'!J48,2)</f>
        <v>9.08</v>
      </c>
      <c r="G16" s="33">
        <f ca="1">ROUND('Hiilijalanjälki ja veden kulutu'!M48,2)</f>
        <v>1.65</v>
      </c>
      <c r="H16" s="33">
        <f ca="1">ROUND('Hiilijalanjälki ja veden kulutu'!N48,2)</f>
        <v>10.14</v>
      </c>
      <c r="I16" s="33">
        <f ca="1">ROUND('Hiilijalanjälki ja veden kulutu'!O48,2)</f>
        <v>0</v>
      </c>
      <c r="J16" s="33">
        <f>ROUND('Hiilijalanjälki ja veden kulutu'!K48+'Hiilijalanjälki ja veden kulutu'!P48,2)</f>
        <v>0.01</v>
      </c>
      <c r="K16" s="33">
        <f>ROUND('Hiilijalanjälki ja veden kulutu'!L48+'Hiilijalanjälki ja veden kulutu'!Q48,2)</f>
        <v>0</v>
      </c>
    </row>
    <row r="17" spans="1:14" ht="15.75" customHeight="1">
      <c r="A17" s="9" t="str">
        <f>Lähtötiedot!C6</f>
        <v>Toimija 2 vaate 2</v>
      </c>
      <c r="B17" s="33">
        <f>ROUND('Hiilijalanjälki ja veden kulutu'!D57,2)</f>
        <v>1.4</v>
      </c>
      <c r="C17" s="33">
        <f>ROUND('Hiilijalanjälki ja veden kulutu'!E57,2)</f>
        <v>2.59</v>
      </c>
      <c r="D17" s="33">
        <f>ROUND('Hiilijalanjälki ja veden kulutu'!F57,2)</f>
        <v>3</v>
      </c>
      <c r="E17" s="33">
        <f>ROUND('Hiilijalanjälki ja veden kulutu'!I57,2)</f>
        <v>1.4</v>
      </c>
      <c r="F17" s="33">
        <f>ROUND('Hiilijalanjälki ja veden kulutu'!J57,2)</f>
        <v>9.08</v>
      </c>
      <c r="G17" s="33">
        <f ca="1">ROUND('Hiilijalanjälki ja veden kulutu'!M57,2)</f>
        <v>1.65</v>
      </c>
      <c r="H17" s="33">
        <f ca="1">ROUND('Hiilijalanjälki ja veden kulutu'!N57,2)</f>
        <v>10.14</v>
      </c>
      <c r="I17" s="33">
        <f ca="1">ROUND('Hiilijalanjälki ja veden kulutu'!O57,2)</f>
        <v>0</v>
      </c>
      <c r="J17" s="33">
        <f>ROUND('Hiilijalanjälki ja veden kulutu'!K57+'Hiilijalanjälki ja veden kulutu'!P57,2)</f>
        <v>0.01</v>
      </c>
      <c r="K17" s="33">
        <f>ROUND('Hiilijalanjälki ja veden kulutu'!L57+'Hiilijalanjälki ja veden kulutu'!Q57,2)</f>
        <v>0</v>
      </c>
    </row>
    <row r="18" spans="1:14" ht="15.75" customHeight="1">
      <c r="A18" s="9" t="str">
        <f>Lähtötiedot!C7</f>
        <v>Toimija 2 vaate 3</v>
      </c>
      <c r="B18" s="33">
        <f>ROUND('Hiilijalanjälki ja veden kulutu'!D66,2)</f>
        <v>0.7</v>
      </c>
      <c r="C18" s="33">
        <f>ROUND('Hiilijalanjälki ja veden kulutu'!E66,2)</f>
        <v>1.29</v>
      </c>
      <c r="D18" s="33">
        <f>ROUND('Hiilijalanjälki ja veden kulutu'!F66,2)</f>
        <v>1.5</v>
      </c>
      <c r="E18" s="33">
        <f>ROUND('Hiilijalanjälki ja veden kulutu'!I66,2)</f>
        <v>0.7</v>
      </c>
      <c r="F18" s="33">
        <f>ROUND('Hiilijalanjälki ja veden kulutu'!J66,2)</f>
        <v>4.54</v>
      </c>
      <c r="G18" s="33">
        <f ca="1">ROUND('Hiilijalanjälki ja veden kulutu'!M66,2)</f>
        <v>0.83</v>
      </c>
      <c r="H18" s="33">
        <f ca="1">ROUND('Hiilijalanjälki ja veden kulutu'!N66,2)</f>
        <v>5.07</v>
      </c>
      <c r="I18" s="33">
        <f ca="1">ROUND('Hiilijalanjälki ja veden kulutu'!O66,2)</f>
        <v>0</v>
      </c>
      <c r="J18" s="33">
        <f>ROUND('Hiilijalanjälki ja veden kulutu'!K66+'Hiilijalanjälki ja veden kulutu'!P66,2)</f>
        <v>0</v>
      </c>
      <c r="K18" s="33">
        <f>ROUND('Hiilijalanjälki ja veden kulutu'!L66+'Hiilijalanjälki ja veden kulutu'!Q66,2)</f>
        <v>0</v>
      </c>
    </row>
    <row r="19" spans="1:14" ht="15.75" customHeight="1">
      <c r="A19" s="9" t="str">
        <f>Lähtötiedot!C8</f>
        <v>Toimija 2 vaate 4</v>
      </c>
      <c r="B19" s="33">
        <f>ROUND('Hiilijalanjälki ja veden kulutu'!D75,2)</f>
        <v>0.17</v>
      </c>
      <c r="C19" s="33">
        <f>ROUND('Hiilijalanjälki ja veden kulutu'!E75,2)</f>
        <v>0.32</v>
      </c>
      <c r="D19" s="33">
        <f>ROUND('Hiilijalanjälki ja veden kulutu'!F75,2)</f>
        <v>0.38</v>
      </c>
      <c r="E19" s="33">
        <f>ROUND('Hiilijalanjälki ja veden kulutu'!I75,2)</f>
        <v>0.17</v>
      </c>
      <c r="F19" s="33">
        <f>ROUND('Hiilijalanjälki ja veden kulutu'!J75,2)</f>
        <v>1.1399999999999999</v>
      </c>
      <c r="G19" s="33">
        <f ca="1">ROUND('Hiilijalanjälki ja veden kulutu'!M75,2)</f>
        <v>0.21</v>
      </c>
      <c r="H19" s="33">
        <f ca="1">ROUND('Hiilijalanjälki ja veden kulutu'!N75,2)</f>
        <v>1.27</v>
      </c>
      <c r="I19" s="33">
        <f ca="1">ROUND('Hiilijalanjälki ja veden kulutu'!O75,2)</f>
        <v>0</v>
      </c>
      <c r="J19" s="33">
        <f>ROUND('Hiilijalanjälki ja veden kulutu'!K75+'Hiilijalanjälki ja veden kulutu'!P75,2)</f>
        <v>0</v>
      </c>
      <c r="K19" s="33">
        <f>ROUND('Hiilijalanjälki ja veden kulutu'!L75+'Hiilijalanjälki ja veden kulutu'!Q75,2)</f>
        <v>0</v>
      </c>
      <c r="L19" s="13"/>
      <c r="M19" s="13"/>
      <c r="N19" s="13"/>
    </row>
    <row r="20" spans="1:14" ht="15.75" customHeight="1">
      <c r="A20" s="9" t="str">
        <f>Lähtötiedot!C9</f>
        <v>Toimija 2 vaate 5</v>
      </c>
      <c r="B20" s="33">
        <f>ROUND('Hiilijalanjälki ja veden kulutu'!D84,"9")</f>
        <v>0.17451742200000001</v>
      </c>
      <c r="C20" s="33">
        <f>ROUND('Hiilijalanjälki ja veden kulutu'!E84,2)</f>
        <v>0.32</v>
      </c>
      <c r="D20" s="33">
        <f>ROUND('Hiilijalanjälki ja veden kulutu'!F84,2)</f>
        <v>0.38</v>
      </c>
      <c r="E20" s="33">
        <f>ROUND('Hiilijalanjälki ja veden kulutu'!I84,2)</f>
        <v>0.17</v>
      </c>
      <c r="F20" s="33">
        <f>ROUND('Hiilijalanjälki ja veden kulutu'!J84,2)</f>
        <v>1.1399999999999999</v>
      </c>
      <c r="G20" s="33">
        <f ca="1">ROUND('Hiilijalanjälki ja veden kulutu'!M84,2)</f>
        <v>0.21</v>
      </c>
      <c r="H20" s="33">
        <f ca="1">ROUND('Hiilijalanjälki ja veden kulutu'!N84,2)</f>
        <v>1.27</v>
      </c>
      <c r="I20" s="33">
        <f ca="1">ROUND('Hiilijalanjälki ja veden kulutu'!O84,2)</f>
        <v>0</v>
      </c>
      <c r="J20" s="33">
        <f>ROUND('Hiilijalanjälki ja veden kulutu'!K84+'Hiilijalanjälki ja veden kulutu'!P84,2)</f>
        <v>0</v>
      </c>
      <c r="K20" s="33">
        <f>ROUND('Hiilijalanjälki ja veden kulutu'!L84+'Hiilijalanjälki ja veden kulutu'!Q84,2)</f>
        <v>0</v>
      </c>
      <c r="L20" s="13"/>
      <c r="M20" s="13"/>
      <c r="N20" s="13"/>
    </row>
    <row r="21" spans="1:14" ht="15.75" customHeight="1">
      <c r="A21" s="9"/>
      <c r="B21" s="13"/>
      <c r="C21" s="13"/>
      <c r="D21" s="13"/>
      <c r="E21" s="13"/>
      <c r="F21" s="13"/>
      <c r="G21" s="13"/>
      <c r="H21" s="13"/>
      <c r="I21" s="13"/>
      <c r="J21" s="13"/>
      <c r="K21" s="13"/>
      <c r="L21" s="13"/>
      <c r="M21" s="13"/>
      <c r="N21" s="13"/>
    </row>
    <row r="22" spans="1:14">
      <c r="A22" s="5" t="str">
        <f>Lähtötiedot!B5</f>
        <v>Toimija 2</v>
      </c>
      <c r="B22" s="203" t="s">
        <v>344</v>
      </c>
      <c r="C22" s="203" t="s">
        <v>345</v>
      </c>
      <c r="D22" s="203" t="s">
        <v>346</v>
      </c>
      <c r="E22" s="203" t="s">
        <v>347</v>
      </c>
      <c r="F22" s="203" t="s">
        <v>348</v>
      </c>
    </row>
    <row r="23" spans="1:14" ht="15.75" customHeight="1">
      <c r="A23" s="9" t="str">
        <f>Lähtötiedot!C5</f>
        <v>Toimija 2 vaate 1</v>
      </c>
      <c r="B23" s="33">
        <f ca="1">ROUND('Hiilijalanjälki ja veden kulutu'!D91,2)</f>
        <v>8.27</v>
      </c>
      <c r="C23" s="33">
        <f ca="1">ROUND('Hiilijalanjälki ja veden kulutu'!E91,2)</f>
        <v>50.69</v>
      </c>
      <c r="D23" s="33">
        <f ca="1">ROUND('Hiilijalanjälki ja veden kulutu'!F91,2)</f>
        <v>0</v>
      </c>
      <c r="E23" s="33">
        <f>ROUND('Hiilijalanjälki ja veden kulutu'!B91+'Hiilijalanjälki ja veden kulutu'!G91,2)</f>
        <v>0.03</v>
      </c>
      <c r="F23" s="33">
        <f>ROUND('Hiilijalanjälki ja veden kulutu'!C91+'Hiilijalanjälki ja veden kulutu'!H91,2)</f>
        <v>0.01</v>
      </c>
    </row>
    <row r="24" spans="1:14" ht="15.75" customHeight="1">
      <c r="A24" s="9" t="str">
        <f>Lähtötiedot!C6</f>
        <v>Toimija 2 vaate 2</v>
      </c>
      <c r="B24" s="33">
        <f ca="1">ROUND('Hiilijalanjälki ja veden kulutu'!D98,2)</f>
        <v>8.27</v>
      </c>
      <c r="C24" s="33">
        <f ca="1">ROUND('Hiilijalanjälki ja veden kulutu'!E98,2)</f>
        <v>50.69</v>
      </c>
      <c r="D24" s="33">
        <f ca="1">ROUND('Hiilijalanjälki ja veden kulutu'!F98,2)</f>
        <v>0</v>
      </c>
      <c r="E24" s="33">
        <f>ROUND('Hiilijalanjälki ja veden kulutu'!B98+'Hiilijalanjälki ja veden kulutu'!G98,2)</f>
        <v>0.03</v>
      </c>
      <c r="F24" s="33">
        <f>ROUND('Hiilijalanjälki ja veden kulutu'!C98+'Hiilijalanjälki ja veden kulutu'!H98,2)</f>
        <v>0.01</v>
      </c>
    </row>
    <row r="25" spans="1:14" ht="15.75" customHeight="1">
      <c r="A25" s="9" t="str">
        <f>Lähtötiedot!C7</f>
        <v>Toimija 2 vaate 3</v>
      </c>
      <c r="B25" s="33">
        <f ca="1">ROUND('Hiilijalanjälki ja veden kulutu'!D105,2)</f>
        <v>4.13</v>
      </c>
      <c r="C25" s="33">
        <f ca="1">ROUND('Hiilijalanjälki ja veden kulutu'!E105,2)</f>
        <v>25.34</v>
      </c>
      <c r="D25" s="33">
        <f ca="1">ROUND('Hiilijalanjälki ja veden kulutu'!F105,2)</f>
        <v>0</v>
      </c>
      <c r="E25" s="33">
        <f>ROUND('Hiilijalanjälki ja veden kulutu'!B105+'Hiilijalanjälki ja veden kulutu'!G105,2)</f>
        <v>0.01</v>
      </c>
      <c r="F25" s="33">
        <f>ROUND('Hiilijalanjälki ja veden kulutu'!C105+'Hiilijalanjälki ja veden kulutu'!H105,2)</f>
        <v>0</v>
      </c>
    </row>
    <row r="26" spans="1:14" ht="15.75" customHeight="1">
      <c r="A26" s="9" t="str">
        <f>Lähtötiedot!C8</f>
        <v>Toimija 2 vaate 4</v>
      </c>
      <c r="B26" s="33">
        <f ca="1">ROUND('Hiilijalanjälki ja veden kulutu'!D112,2)</f>
        <v>1.03</v>
      </c>
      <c r="C26" s="33">
        <f ca="1">ROUND('Hiilijalanjälki ja veden kulutu'!E112,2)</f>
        <v>6.34</v>
      </c>
      <c r="D26" s="33">
        <f ca="1">ROUND('Hiilijalanjälki ja veden kulutu'!F112,2)</f>
        <v>0</v>
      </c>
      <c r="E26" s="33">
        <f>ROUND('Hiilijalanjälki ja veden kulutu'!B112+'Hiilijalanjälki ja veden kulutu'!G112,2)</f>
        <v>0</v>
      </c>
      <c r="F26" s="33">
        <f>ROUND('Hiilijalanjälki ja veden kulutu'!C112+'Hiilijalanjälki ja veden kulutu'!H112,2)</f>
        <v>0</v>
      </c>
    </row>
    <row r="27" spans="1:14" ht="15.75" customHeight="1">
      <c r="A27" s="9" t="str">
        <f>Lähtötiedot!C9</f>
        <v>Toimija 2 vaate 5</v>
      </c>
      <c r="B27" s="33">
        <f ca="1">ROUND('Hiilijalanjälki ja veden kulutu'!D119,2)</f>
        <v>1.03</v>
      </c>
      <c r="C27" s="33">
        <f ca="1">ROUND('Hiilijalanjälki ja veden kulutu'!E119,2)</f>
        <v>6.34</v>
      </c>
      <c r="D27" s="33">
        <f ca="1">ROUND('Hiilijalanjälki ja veden kulutu'!F119,2)</f>
        <v>0</v>
      </c>
      <c r="E27" s="33">
        <f>ROUND('Hiilijalanjälki ja veden kulutu'!B119+'Hiilijalanjälki ja veden kulutu'!G119,2)</f>
        <v>0</v>
      </c>
      <c r="F27" s="33">
        <f>ROUND('Hiilijalanjälki ja veden kulutu'!C119+'Hiilijalanjälki ja veden kulutu'!H119,2)</f>
        <v>0</v>
      </c>
    </row>
    <row r="28" spans="1:14" ht="15.75" customHeight="1">
      <c r="A28" s="9"/>
      <c r="B28" s="13"/>
      <c r="C28" s="13"/>
      <c r="D28" s="13"/>
      <c r="E28" s="13"/>
      <c r="F28" s="13"/>
    </row>
    <row r="29" spans="1:14">
      <c r="A29" s="5" t="str">
        <f>Lähtötiedot!B10</f>
        <v>Toimija 3</v>
      </c>
      <c r="B29" s="202" t="s">
        <v>342</v>
      </c>
      <c r="C29" s="202" t="s">
        <v>343</v>
      </c>
      <c r="D29" s="13"/>
      <c r="E29" s="13"/>
      <c r="F29" s="13"/>
    </row>
    <row r="30" spans="1:14" ht="15.75" customHeight="1">
      <c r="A30" s="9" t="str">
        <f>Lähtötiedot!C10</f>
        <v>Toimija 3 vaate 1</v>
      </c>
      <c r="B30" s="33">
        <f>ROUND('Hiilijalanjälki ja veden kulutu'!B126,2)</f>
        <v>0.44</v>
      </c>
      <c r="C30" s="33">
        <f>ROUND('Hiilijalanjälki ja veden kulutu'!C126,2)</f>
        <v>2.84</v>
      </c>
      <c r="D30" s="13"/>
      <c r="E30" s="13"/>
      <c r="F30" s="13"/>
    </row>
    <row r="31" spans="1:14" ht="15.75" customHeight="1">
      <c r="A31" s="9" t="str">
        <f>Lähtötiedot!C11</f>
        <v>Toimija 3 vaate 2</v>
      </c>
      <c r="B31" s="33">
        <f>ROUND('Hiilijalanjälki ja veden kulutu'!B133,2)</f>
        <v>0.44</v>
      </c>
      <c r="C31" s="33">
        <f>ROUND('Hiilijalanjälki ja veden kulutu'!C133,2)</f>
        <v>2.84</v>
      </c>
      <c r="D31" s="13"/>
      <c r="E31" s="13"/>
      <c r="F31" s="13"/>
    </row>
    <row r="32" spans="1:14" ht="15.75" customHeight="1">
      <c r="A32" s="9" t="str">
        <f>Lähtötiedot!C12</f>
        <v>Toimija 3 vaate 3</v>
      </c>
      <c r="B32" s="33">
        <f>ROUND('Hiilijalanjälki ja veden kulutu'!B140,2)</f>
        <v>0.44</v>
      </c>
      <c r="C32" s="33">
        <f>ROUND('Hiilijalanjälki ja veden kulutu'!C140,2)</f>
        <v>2.84</v>
      </c>
      <c r="D32" s="13"/>
      <c r="E32" s="13"/>
      <c r="F32" s="13"/>
    </row>
    <row r="33" spans="1:15" ht="15.75" customHeight="1">
      <c r="A33" s="9" t="str">
        <f>Lähtötiedot!C13</f>
        <v>Toimija 3 vaate 4</v>
      </c>
      <c r="B33" s="33">
        <f>ROUND('Hiilijalanjälki ja veden kulutu'!B147,2)</f>
        <v>0.44</v>
      </c>
      <c r="C33" s="33">
        <f>ROUND('Hiilijalanjälki ja veden kulutu'!C147,2)</f>
        <v>2.84</v>
      </c>
      <c r="D33" s="13"/>
      <c r="E33" s="13"/>
      <c r="F33" s="13"/>
    </row>
    <row r="34" spans="1:15" ht="15.75" customHeight="1">
      <c r="A34" s="9"/>
      <c r="B34" s="13"/>
      <c r="C34" s="13"/>
      <c r="D34" s="13"/>
      <c r="E34" s="13"/>
      <c r="F34" s="13"/>
    </row>
    <row r="35" spans="1:15">
      <c r="A35" s="5" t="str">
        <f>Lähtötiedot!B10</f>
        <v>Toimija 3</v>
      </c>
      <c r="B35" s="203" t="s">
        <v>344</v>
      </c>
      <c r="C35" s="203" t="s">
        <v>345</v>
      </c>
      <c r="D35" s="203" t="s">
        <v>346</v>
      </c>
      <c r="E35" s="203" t="s">
        <v>347</v>
      </c>
      <c r="F35" s="203" t="s">
        <v>348</v>
      </c>
      <c r="G35" s="205"/>
      <c r="H35" s="205"/>
    </row>
    <row r="36" spans="1:15" ht="15.75" customHeight="1">
      <c r="A36" s="9" t="str">
        <f>Lähtötiedot!C10</f>
        <v>Toimija 3 vaate 1</v>
      </c>
      <c r="B36" s="33">
        <f ca="1">ROUND('Hiilijalanjälki ja veden kulutu'!D154,2)</f>
        <v>1.03</v>
      </c>
      <c r="C36" s="33">
        <f ca="1">ROUND('Hiilijalanjälki ja veden kulutu'!E154,2)</f>
        <v>6.34</v>
      </c>
      <c r="D36" s="33">
        <f ca="1">ROUND('Hiilijalanjälki ja veden kulutu'!F154,2)</f>
        <v>0</v>
      </c>
      <c r="E36" s="33">
        <f>ROUND('Hiilijalanjälki ja veden kulutu'!B154+'Hiilijalanjälki ja veden kulutu'!G154,2)</f>
        <v>0</v>
      </c>
      <c r="F36" s="33">
        <f>ROUND('Hiilijalanjälki ja veden kulutu'!C154+'Hiilijalanjälki ja veden kulutu'!H154,2)</f>
        <v>0</v>
      </c>
    </row>
    <row r="37" spans="1:15" ht="15.75" customHeight="1">
      <c r="A37" s="9" t="str">
        <f>Lähtötiedot!C11</f>
        <v>Toimija 3 vaate 2</v>
      </c>
      <c r="B37" s="33">
        <f ca="1">ROUND('Hiilijalanjälki ja veden kulutu'!D161,2)</f>
        <v>1.03</v>
      </c>
      <c r="C37" s="33">
        <f ca="1">ROUND('Hiilijalanjälki ja veden kulutu'!E161,2)</f>
        <v>6.34</v>
      </c>
      <c r="D37" s="33">
        <f ca="1">ROUND('Hiilijalanjälki ja veden kulutu'!F161,2)</f>
        <v>0</v>
      </c>
      <c r="E37" s="33">
        <f>ROUND('Hiilijalanjälki ja veden kulutu'!B161+'Hiilijalanjälki ja veden kulutu'!G161,2)</f>
        <v>0</v>
      </c>
      <c r="F37" s="33">
        <f>ROUND('Hiilijalanjälki ja veden kulutu'!C161+'Hiilijalanjälki ja veden kulutu'!H161,2)</f>
        <v>0</v>
      </c>
    </row>
    <row r="38" spans="1:15" ht="15.75" customHeight="1">
      <c r="A38" s="9" t="str">
        <f>Lähtötiedot!C12</f>
        <v>Toimija 3 vaate 3</v>
      </c>
      <c r="B38" s="33">
        <f ca="1">ROUND('Hiilijalanjälki ja veden kulutu'!D168,2)</f>
        <v>1.03</v>
      </c>
      <c r="C38" s="33">
        <f ca="1">ROUND('Hiilijalanjälki ja veden kulutu'!E168,2)</f>
        <v>6.34</v>
      </c>
      <c r="D38" s="33">
        <f ca="1">ROUND('Hiilijalanjälki ja veden kulutu'!F168,2)</f>
        <v>0</v>
      </c>
      <c r="E38" s="33">
        <f>ROUND('Hiilijalanjälki ja veden kulutu'!B168+'Hiilijalanjälki ja veden kulutu'!G168,2)</f>
        <v>0</v>
      </c>
      <c r="F38" s="33">
        <f>ROUND('Hiilijalanjälki ja veden kulutu'!C168+'Hiilijalanjälki ja veden kulutu'!H168,2)</f>
        <v>0</v>
      </c>
    </row>
    <row r="39" spans="1:15" ht="15.75" customHeight="1">
      <c r="A39" s="9" t="str">
        <f>Lähtötiedot!C13</f>
        <v>Toimija 3 vaate 4</v>
      </c>
      <c r="B39" s="33">
        <f ca="1">ROUND('Hiilijalanjälki ja veden kulutu'!D175,2)</f>
        <v>1.03</v>
      </c>
      <c r="C39" s="33">
        <f ca="1">ROUND('Hiilijalanjälki ja veden kulutu'!E175,2)</f>
        <v>6.34</v>
      </c>
      <c r="D39" s="33">
        <f ca="1">ROUND('Hiilijalanjälki ja veden kulutu'!F175,2)</f>
        <v>0</v>
      </c>
      <c r="E39" s="33">
        <f>ROUND('Hiilijalanjälki ja veden kulutu'!B175+'Hiilijalanjälki ja veden kulutu'!G175,2)</f>
        <v>0</v>
      </c>
      <c r="F39" s="33">
        <f>ROUND('Hiilijalanjälki ja veden kulutu'!C175+'Hiilijalanjälki ja veden kulutu'!H175,2)</f>
        <v>0</v>
      </c>
    </row>
    <row r="41" spans="1:15">
      <c r="A41" s="206" t="str">
        <f>Lähtötiedot!B3</f>
        <v>Toimija 1</v>
      </c>
      <c r="B41" s="207" t="str">
        <f>(Kustannukset!B57)</f>
        <v>Hankintahinta / pesuväli</v>
      </c>
      <c r="C41" s="207" t="str">
        <f>(Kustannukset!C57)</f>
        <v>Pesukoneen hinta / pesu</v>
      </c>
      <c r="D41" s="207" t="str">
        <f>(Kustannukset!D57)</f>
        <v>Pesukoneen sähkö / pesu</v>
      </c>
      <c r="E41" s="207" t="str">
        <f>(Kustannukset!E57)</f>
        <v>Pesuveden käyttömaksu</v>
      </c>
      <c r="F41" s="207" t="str">
        <f>(Kustannukset!F57)</f>
        <v>Jäteveden käyttömaksu</v>
      </c>
      <c r="G41" s="207" t="str">
        <f>(Kustannukset!G57)</f>
        <v>Veden perusmaksu</v>
      </c>
      <c r="H41" s="207" t="str">
        <f>(Kustannukset!H57)</f>
        <v>Kuivausrummun hinta / pesu</v>
      </c>
      <c r="I41" s="207" t="str">
        <f>(Kustannukset!I57)</f>
        <v>Kuivausrummun sähkö</v>
      </c>
      <c r="J41" s="207" t="str">
        <f>(Kustannukset!J57)</f>
        <v>Kuivauskaapin hinta / pesu</v>
      </c>
      <c r="K41" s="207" t="str">
        <f>(Kustannukset!K57)</f>
        <v>Kuivauskaapin sähkö</v>
      </c>
      <c r="L41" s="207" t="str">
        <f>(Kustannukset!L57)</f>
        <v>Pesuaineen hinta</v>
      </c>
      <c r="M41" s="207" t="str">
        <f>(Kustannukset!M57)</f>
        <v>Pesuun ja kuivaukseen menevän työn hinta</v>
      </c>
      <c r="N41" s="207" t="str">
        <f>(Kustannukset!N57)</f>
        <v>Jätehuolto</v>
      </c>
      <c r="O41" s="208" t="s">
        <v>349</v>
      </c>
    </row>
    <row r="42" spans="1:15" ht="15.75" customHeight="1">
      <c r="A42" s="209" t="str">
        <f>('Lähtötiedot - kustannukset'!C2)</f>
        <v>Toimija 1 Talvivaate 1</v>
      </c>
      <c r="B42" s="210">
        <f>(Kustannukset!B22)</f>
        <v>6.5664818115798496E-2</v>
      </c>
      <c r="C42" s="210">
        <f>(Kustannukset!C22)</f>
        <v>3.2404735799334443E-2</v>
      </c>
      <c r="D42" s="210">
        <f>(Kustannukset!D22)</f>
        <v>6.9071891774891781E-3</v>
      </c>
      <c r="E42" s="210">
        <f>(Kustannukset!E22)</f>
        <v>8.8267683333333336E-3</v>
      </c>
      <c r="F42" s="210">
        <f>(Kustannukset!F22)</f>
        <v>1.0458607857142857E-2</v>
      </c>
      <c r="G42" s="210">
        <f>(Kustannukset!G22)</f>
        <v>7.4174523809523811E-4</v>
      </c>
      <c r="H42" s="210">
        <f>(Kustannukset!H22)</f>
        <v>0</v>
      </c>
      <c r="I42" s="210">
        <f>(Kustannukset!I22)</f>
        <v>0</v>
      </c>
      <c r="J42" s="210">
        <f>(Kustannukset!J22)</f>
        <v>0.10634068773603655</v>
      </c>
      <c r="K42" s="210">
        <f>(Kustannukset!K22)</f>
        <v>4.4931999999999993E-2</v>
      </c>
      <c r="L42" s="210">
        <f>(Kustannukset!L22)</f>
        <v>3.8999999999999998E-3</v>
      </c>
      <c r="M42" s="210">
        <f>(Kustannukset!M22)</f>
        <v>0.55604838709677418</v>
      </c>
      <c r="N42" s="210">
        <f>(Kustannukset!N22)</f>
        <v>0</v>
      </c>
      <c r="O42" s="210">
        <f>(Kustannukset!U22)-SUM(B42:N42)</f>
        <v>0.60848024432467995</v>
      </c>
    </row>
    <row r="43" spans="1:15" ht="12.5">
      <c r="A43" s="209" t="str">
        <f>('Lähtötiedot - kustannukset'!C3)</f>
        <v>Toimija 1 Talvivaate 2</v>
      </c>
      <c r="B43" s="210">
        <f>(Kustannukset!B28)</f>
        <v>0.13132963623159699</v>
      </c>
      <c r="C43" s="210">
        <f>(Kustannukset!C28)</f>
        <v>3.2404735799334443E-2</v>
      </c>
      <c r="D43" s="210">
        <f>(Kustannukset!D28)</f>
        <v>6.9071891774891781E-3</v>
      </c>
      <c r="E43" s="210">
        <f>(Kustannukset!E28)</f>
        <v>8.8267683333333336E-3</v>
      </c>
      <c r="F43" s="210">
        <f>(Kustannukset!F28)</f>
        <v>1.0458607857142857E-2</v>
      </c>
      <c r="G43" s="210">
        <f>(Kustannukset!G28)</f>
        <v>7.4174523809523811E-4</v>
      </c>
      <c r="H43" s="210">
        <f>(Kustannukset!H28)</f>
        <v>0</v>
      </c>
      <c r="I43" s="210">
        <f>(Kustannukset!I28)</f>
        <v>0</v>
      </c>
      <c r="J43" s="210">
        <f>(Kustannukset!J28)</f>
        <v>0.10634068773603655</v>
      </c>
      <c r="K43" s="210">
        <f>(Kustannukset!K28)</f>
        <v>4.4931999999999993E-2</v>
      </c>
      <c r="L43" s="210">
        <f>(Kustannukset!L28)</f>
        <v>3.8999999999999998E-3</v>
      </c>
      <c r="M43" s="210">
        <f>(Kustannukset!M28)</f>
        <v>0.55604838709677418</v>
      </c>
      <c r="N43" s="210">
        <f>(Kustannukset!N64)</f>
        <v>0</v>
      </c>
      <c r="O43" s="210">
        <f>(Kustannukset!U28-SUM(B43:N43))</f>
        <v>0.60848024432467995</v>
      </c>
    </row>
    <row r="44" spans="1:15" ht="13">
      <c r="A44" s="206" t="str">
        <f>Lähtötiedot!B5</f>
        <v>Toimija 2</v>
      </c>
      <c r="B44" s="208" t="s">
        <v>244</v>
      </c>
      <c r="C44" s="208" t="s">
        <v>245</v>
      </c>
      <c r="D44" s="208" t="s">
        <v>246</v>
      </c>
      <c r="E44" s="208" t="s">
        <v>247</v>
      </c>
      <c r="F44" s="208" t="s">
        <v>108</v>
      </c>
      <c r="G44" s="208" t="s">
        <v>103</v>
      </c>
      <c r="H44" s="211"/>
      <c r="I44" s="211"/>
      <c r="J44" s="208" t="s">
        <v>250</v>
      </c>
      <c r="K44" s="208" t="s">
        <v>251</v>
      </c>
      <c r="L44" s="208" t="s">
        <v>113</v>
      </c>
      <c r="M44" s="208" t="s">
        <v>252</v>
      </c>
      <c r="N44" s="211"/>
      <c r="O44" s="208" t="s">
        <v>349</v>
      </c>
    </row>
    <row r="45" spans="1:15" ht="12.5">
      <c r="A45" s="209" t="str">
        <f>('Lähtötiedot - kustannukset'!C5)</f>
        <v>Toimija 2 vaate 1</v>
      </c>
      <c r="B45" s="210">
        <f>(Kustannukset!B52)</f>
        <v>9.8946986201888139E-3</v>
      </c>
      <c r="C45" s="210">
        <f>(Kustannukset!C52)</f>
        <v>3.2404735799334443E-2</v>
      </c>
      <c r="D45" s="210">
        <f>(Kustannukset!D52)</f>
        <v>6.9071891774891781E-3</v>
      </c>
      <c r="E45" s="210">
        <f>(Kustannukset!E52)</f>
        <v>8.8267683333333336E-3</v>
      </c>
      <c r="F45" s="210">
        <f>(Kustannukset!F52)</f>
        <v>1.0458607857142857E-2</v>
      </c>
      <c r="G45" s="210">
        <f>(Kustannukset!G52)</f>
        <v>7.4174523809523811E-4</v>
      </c>
      <c r="H45" s="210">
        <f>(Kustannukset!H52)</f>
        <v>0</v>
      </c>
      <c r="I45" s="210">
        <f>(Kustannukset!I52)</f>
        <v>0</v>
      </c>
      <c r="J45" s="210">
        <f>(Kustannukset!J52)</f>
        <v>0.10634068773603655</v>
      </c>
      <c r="K45" s="210">
        <f>(Kustannukset!K52)</f>
        <v>4.4931999999999993E-2</v>
      </c>
      <c r="L45" s="210">
        <f>(Kustannukset!L52)</f>
        <v>3.8999999999999998E-3</v>
      </c>
      <c r="M45" s="210">
        <f>(Kustannukset!M52)</f>
        <v>0.55604838709677418</v>
      </c>
      <c r="N45" s="210">
        <f>(Kustannukset!N52)</f>
        <v>0</v>
      </c>
      <c r="O45" s="210">
        <f>(Kustannukset!U52-SUM(B45:M45))</f>
        <v>0.60848024432467984</v>
      </c>
    </row>
    <row r="46" spans="1:15" ht="12.5">
      <c r="A46" s="209" t="str">
        <f>('Lähtötiedot - kustannukset'!C6)</f>
        <v>Toimija 2 vaate 2</v>
      </c>
      <c r="B46" s="210">
        <f>(Kustannukset!B58)</f>
        <v>1.6491164366981359E-3</v>
      </c>
      <c r="C46" s="210">
        <f>(Kustannukset!C58)</f>
        <v>3.2404735799334443E-2</v>
      </c>
      <c r="D46" s="210">
        <f>(Kustannukset!D58)</f>
        <v>6.9071891774891781E-3</v>
      </c>
      <c r="E46" s="210">
        <f>(Kustannukset!E58)</f>
        <v>8.8267683333333336E-3</v>
      </c>
      <c r="F46" s="210">
        <f>(Kustannukset!F58)</f>
        <v>1.0458607857142857E-2</v>
      </c>
      <c r="G46" s="210">
        <f>(Kustannukset!G58)</f>
        <v>7.4174523809523811E-4</v>
      </c>
      <c r="H46" s="210">
        <f>(Kustannukset!H58)</f>
        <v>0</v>
      </c>
      <c r="I46" s="210">
        <f>(Kustannukset!I58)</f>
        <v>0</v>
      </c>
      <c r="J46" s="210">
        <f>(Kustannukset!J58)</f>
        <v>0.10634068773603655</v>
      </c>
      <c r="K46" s="210">
        <f>(Kustannukset!K58)</f>
        <v>4.4931999999999993E-2</v>
      </c>
      <c r="L46" s="210">
        <f>(Kustannukset!L58)</f>
        <v>3.8999999999999998E-3</v>
      </c>
      <c r="M46" s="210">
        <f>(Kustannukset!M58)</f>
        <v>0.55604838709677418</v>
      </c>
      <c r="N46" s="210">
        <f>(Kustannukset!N58)</f>
        <v>0</v>
      </c>
      <c r="O46" s="210">
        <f>(Kustannukset!U58-SUM(B46:N46))</f>
        <v>0.60848024432467995</v>
      </c>
    </row>
    <row r="47" spans="1:15" ht="12.5">
      <c r="A47" s="209" t="str">
        <f>('Lähtötiedot - kustannukset'!C7)</f>
        <v>Toimija 2 vaate 3</v>
      </c>
      <c r="B47" s="210">
        <f>(Kustannukset!B64)</f>
        <v>3.2982328733962719E-3</v>
      </c>
      <c r="C47" s="210">
        <f>(Kustannukset!C64)</f>
        <v>3.2404735799334443E-2</v>
      </c>
      <c r="D47" s="210">
        <f>(Kustannukset!D64)</f>
        <v>6.9071891774891781E-3</v>
      </c>
      <c r="E47" s="210">
        <f>(Kustannukset!E64)</f>
        <v>8.8267683333333336E-3</v>
      </c>
      <c r="F47" s="210">
        <f>(Kustannukset!F64)</f>
        <v>1.0458607857142857E-2</v>
      </c>
      <c r="G47" s="210">
        <f>(Kustannukset!G64)</f>
        <v>7.4174523809523811E-4</v>
      </c>
      <c r="H47" s="210">
        <f>(Kustannukset!H64)</f>
        <v>0</v>
      </c>
      <c r="I47" s="210">
        <f>(Kustannukset!I64)</f>
        <v>0</v>
      </c>
      <c r="J47" s="210">
        <f>(Kustannukset!J64)</f>
        <v>0.10634068773603655</v>
      </c>
      <c r="K47" s="210">
        <f>(Kustannukset!K64)</f>
        <v>4.4931999999999993E-2</v>
      </c>
      <c r="L47" s="210">
        <f>(Kustannukset!L64)</f>
        <v>3.8999999999999998E-3</v>
      </c>
      <c r="M47" s="210">
        <f>(Kustannukset!M64)</f>
        <v>0.55604838709677418</v>
      </c>
      <c r="N47" s="210">
        <f>(Kustannukset!N64)</f>
        <v>0</v>
      </c>
      <c r="O47" s="210">
        <f>(Kustannukset!U64-SUM(B47:N47))</f>
        <v>0.60848024432467995</v>
      </c>
    </row>
    <row r="48" spans="1:15" ht="12.5">
      <c r="A48" s="209" t="str">
        <f>('Lähtötiedot - kustannukset'!C8)</f>
        <v>Toimija 2 vaate 4</v>
      </c>
      <c r="B48" s="210">
        <f>(Kustannukset!B70)</f>
        <v>1.3192931493585087E-2</v>
      </c>
      <c r="C48" s="210">
        <f>(Kustannukset!C70)</f>
        <v>3.2404735799334443E-2</v>
      </c>
      <c r="D48" s="210">
        <f>(Kustannukset!D70)</f>
        <v>6.9071891774891781E-3</v>
      </c>
      <c r="E48" s="210">
        <f>(Kustannukset!E70)</f>
        <v>8.8267683333333336E-3</v>
      </c>
      <c r="F48" s="210">
        <f>(Kustannukset!F70)</f>
        <v>1.0458607857142857E-2</v>
      </c>
      <c r="G48" s="210">
        <f>(Kustannukset!G70)</f>
        <v>7.4174523809523811E-4</v>
      </c>
      <c r="H48" s="210">
        <f>(Kustannukset!H70)</f>
        <v>0</v>
      </c>
      <c r="I48" s="210">
        <f>(Kustannukset!I70)</f>
        <v>0</v>
      </c>
      <c r="J48" s="210">
        <f>(Kustannukset!J70)</f>
        <v>0.10634068773603655</v>
      </c>
      <c r="K48" s="210">
        <f>(Kustannukset!K70)</f>
        <v>4.4931999999999993E-2</v>
      </c>
      <c r="L48" s="210">
        <f>(Kustannukset!L70)</f>
        <v>3.8999999999999998E-3</v>
      </c>
      <c r="M48" s="210">
        <f>(Kustannukset!M70)</f>
        <v>0.55604838709677418</v>
      </c>
      <c r="N48" s="210">
        <f>(Kustannukset!N70)</f>
        <v>0</v>
      </c>
      <c r="O48" s="210">
        <f>(Kustannukset!U70-SUM(B48:N48))</f>
        <v>0.60848024432467995</v>
      </c>
    </row>
    <row r="49" spans="1:15" ht="12.5">
      <c r="A49" s="209" t="str">
        <f>('Lähtötiedot - kustannukset'!C9)</f>
        <v>Toimija 2 vaate 5</v>
      </c>
      <c r="B49" s="210">
        <f>(Kustannukset!B76)</f>
        <v>1.3192931493585087E-2</v>
      </c>
      <c r="C49" s="210">
        <f>(Kustannukset!C76)</f>
        <v>3.2404735799334443E-2</v>
      </c>
      <c r="D49" s="210">
        <f>(Kustannukset!D76)</f>
        <v>6.9071891774891781E-3</v>
      </c>
      <c r="E49" s="210">
        <f>(Kustannukset!E76)</f>
        <v>8.8267683333333336E-3</v>
      </c>
      <c r="F49" s="210">
        <f>(Kustannukset!F76)</f>
        <v>1.0458607857142857E-2</v>
      </c>
      <c r="G49" s="210">
        <f>(Kustannukset!G76)</f>
        <v>7.4174523809523811E-4</v>
      </c>
      <c r="H49" s="210">
        <f>(Kustannukset!H76)</f>
        <v>0</v>
      </c>
      <c r="I49" s="210">
        <f>(Kustannukset!I76)</f>
        <v>0</v>
      </c>
      <c r="J49" s="210">
        <f>(Kustannukset!J76)</f>
        <v>0.10634068773603655</v>
      </c>
      <c r="K49" s="210">
        <f>(Kustannukset!K76)</f>
        <v>4.4931999999999993E-2</v>
      </c>
      <c r="L49" s="210">
        <f>(Kustannukset!L76)</f>
        <v>3.8999999999999998E-3</v>
      </c>
      <c r="M49" s="210">
        <f>(Kustannukset!M76)</f>
        <v>0.55604838709677418</v>
      </c>
      <c r="N49" s="210">
        <f>(Kustannukset!N76)</f>
        <v>0</v>
      </c>
      <c r="O49" s="210">
        <f>SUM(Kustannukset!U76-SUM(B49:N49))</f>
        <v>0.60848024432467995</v>
      </c>
    </row>
    <row r="50" spans="1:15" ht="13">
      <c r="A50" s="206" t="str">
        <f>Lähtötiedot!B10</f>
        <v>Toimija 3</v>
      </c>
      <c r="B50" s="208" t="s">
        <v>244</v>
      </c>
      <c r="C50" s="208" t="s">
        <v>245</v>
      </c>
      <c r="D50" s="208" t="s">
        <v>246</v>
      </c>
      <c r="E50" s="208" t="s">
        <v>247</v>
      </c>
      <c r="F50" s="208" t="s">
        <v>108</v>
      </c>
      <c r="G50" s="208" t="s">
        <v>103</v>
      </c>
      <c r="H50" s="211"/>
      <c r="I50" s="211"/>
      <c r="J50" s="208" t="s">
        <v>250</v>
      </c>
      <c r="K50" s="208" t="s">
        <v>251</v>
      </c>
      <c r="L50" s="208" t="s">
        <v>113</v>
      </c>
      <c r="M50" s="208" t="s">
        <v>252</v>
      </c>
      <c r="N50" s="211"/>
      <c r="O50" s="208" t="s">
        <v>349</v>
      </c>
    </row>
    <row r="51" spans="1:15" ht="12.5">
      <c r="A51" s="209" t="str">
        <f>('Lähtötiedot - kustannukset'!C11)</f>
        <v>Toimija 3 vaate 1</v>
      </c>
      <c r="B51" s="210">
        <f>(Kustannukset!B151)</f>
        <v>1.5831517792302106E-2</v>
      </c>
      <c r="C51" s="210">
        <f>(Kustannukset!C151)</f>
        <v>3.2404735799334443E-2</v>
      </c>
      <c r="D51" s="210">
        <f>(Kustannukset!D151)</f>
        <v>6.9071891774891781E-3</v>
      </c>
      <c r="E51" s="210">
        <f>(Kustannukset!E151)</f>
        <v>8.8267683333333336E-3</v>
      </c>
      <c r="F51" s="210">
        <f>(Kustannukset!F151)</f>
        <v>1.0458607857142857E-2</v>
      </c>
      <c r="G51" s="210">
        <f>(Kustannukset!G151)</f>
        <v>7.4174523809523811E-4</v>
      </c>
      <c r="H51" s="210">
        <f>(Kustannukset!H151)</f>
        <v>0</v>
      </c>
      <c r="I51" s="210">
        <f>(Kustannukset!I151)</f>
        <v>0</v>
      </c>
      <c r="J51" s="210">
        <f>(Kustannukset!J151)</f>
        <v>0.10634068773603655</v>
      </c>
      <c r="K51" s="210">
        <f>(Kustannukset!K151)</f>
        <v>4.4931999999999993E-2</v>
      </c>
      <c r="L51" s="210">
        <f>(Kustannukset!L151)</f>
        <v>3.8999999999999998E-3</v>
      </c>
      <c r="M51" s="210">
        <f>(Kustannukset!M151)</f>
        <v>0.55604838709677418</v>
      </c>
      <c r="N51" s="210">
        <f>(Kustannukset!N151)</f>
        <v>0</v>
      </c>
      <c r="O51" s="210">
        <f>(Kustannukset!U151-SUM(B51:N51))</f>
        <v>0.60848024432467995</v>
      </c>
    </row>
    <row r="52" spans="1:15" ht="12.5">
      <c r="A52" s="209" t="str">
        <f>('Lähtötiedot - kustannukset'!C12)</f>
        <v>Toimija 3 vaate 2</v>
      </c>
      <c r="B52" s="210">
        <f>(Kustannukset!B157)</f>
        <v>1.5831517792302106E-2</v>
      </c>
      <c r="C52" s="210">
        <f>(Kustannukset!C157)</f>
        <v>3.2404735799334443E-2</v>
      </c>
      <c r="D52" s="210">
        <f>(Kustannukset!D157)</f>
        <v>6.9071891774891781E-3</v>
      </c>
      <c r="E52" s="210">
        <f>(Kustannukset!E157)</f>
        <v>8.8267683333333336E-3</v>
      </c>
      <c r="F52" s="210">
        <f>(Kustannukset!F157)</f>
        <v>1.0458607857142857E-2</v>
      </c>
      <c r="G52" s="210">
        <f>(Kustannukset!G157)</f>
        <v>7.4174523809523811E-4</v>
      </c>
      <c r="H52" s="210">
        <f>(Kustannukset!H157)</f>
        <v>0</v>
      </c>
      <c r="I52" s="210">
        <f>(Kustannukset!I157)</f>
        <v>0</v>
      </c>
      <c r="J52" s="210">
        <f>(Kustannukset!J157)</f>
        <v>0.10634068773603655</v>
      </c>
      <c r="K52" s="210">
        <f>(Kustannukset!K157)</f>
        <v>4.4931999999999993E-2</v>
      </c>
      <c r="L52" s="210">
        <f>(Kustannukset!L157)</f>
        <v>3.8999999999999998E-3</v>
      </c>
      <c r="M52" s="210">
        <f>(Kustannukset!M157)</f>
        <v>0.55604838709677418</v>
      </c>
      <c r="N52" s="210">
        <f>(Kustannukset!N157)</f>
        <v>0</v>
      </c>
      <c r="O52" s="210">
        <f>Kustannukset!U157-SUM(B52:N52)</f>
        <v>0.60848024432467995</v>
      </c>
    </row>
    <row r="53" spans="1:15" ht="12.5">
      <c r="A53" s="209" t="str">
        <f>('Lähtötiedot - kustannukset'!C13)</f>
        <v>Toimija 3 vaate 3</v>
      </c>
      <c r="B53" s="210">
        <f>(Kustannukset!B163)</f>
        <v>1.5831517792302106E-2</v>
      </c>
      <c r="C53" s="210">
        <f>(Kustannukset!C163)</f>
        <v>3.2404735799334443E-2</v>
      </c>
      <c r="D53" s="210">
        <f>(Kustannukset!D163)</f>
        <v>6.9071891774891781E-3</v>
      </c>
      <c r="E53" s="210">
        <f>(Kustannukset!E163)</f>
        <v>8.8267683333333336E-3</v>
      </c>
      <c r="F53" s="210">
        <f>(Kustannukset!F163)</f>
        <v>1.0458607857142857E-2</v>
      </c>
      <c r="G53" s="210">
        <f>(Kustannukset!G163)</f>
        <v>7.4174523809523811E-4</v>
      </c>
      <c r="H53" s="210">
        <f>(Kustannukset!H163)</f>
        <v>0</v>
      </c>
      <c r="I53" s="210">
        <f>(Kustannukset!I163)</f>
        <v>0</v>
      </c>
      <c r="J53" s="210">
        <f>(Kustannukset!J163)</f>
        <v>0.10634068773603655</v>
      </c>
      <c r="K53" s="210">
        <f>(Kustannukset!K163)</f>
        <v>4.4931999999999993E-2</v>
      </c>
      <c r="L53" s="210">
        <f>(Kustannukset!L163)</f>
        <v>3.8999999999999998E-3</v>
      </c>
      <c r="M53" s="210">
        <f>(Kustannukset!M163)</f>
        <v>0.55604838709677418</v>
      </c>
      <c r="N53" s="210">
        <f>(Kustannukset!N163)</f>
        <v>0</v>
      </c>
      <c r="O53" s="210">
        <f>Kustannukset!U163-SUM(B53:N53)</f>
        <v>0.60848024432467995</v>
      </c>
    </row>
    <row r="54" spans="1:15" ht="12.5">
      <c r="A54" s="209" t="str">
        <f>('Lähtötiedot - kustannukset'!C14)</f>
        <v>Toimija 3 vaate 4</v>
      </c>
      <c r="B54" s="210">
        <f>(Kustannukset!B169)</f>
        <v>1.5831517792302106E-2</v>
      </c>
      <c r="C54" s="210">
        <f>(Kustannukset!C169)</f>
        <v>3.2404735799334443E-2</v>
      </c>
      <c r="D54" s="210">
        <f>(Kustannukset!D169)</f>
        <v>6.9071891774891781E-3</v>
      </c>
      <c r="E54" s="210">
        <f>(Kustannukset!E169)</f>
        <v>8.8267683333333336E-3</v>
      </c>
      <c r="F54" s="210">
        <f>(Kustannukset!F169)</f>
        <v>1.0458607857142857E-2</v>
      </c>
      <c r="G54" s="210">
        <f>(Kustannukset!G169)</f>
        <v>7.4174523809523811E-4</v>
      </c>
      <c r="H54" s="210">
        <f>(Kustannukset!H169)</f>
        <v>0</v>
      </c>
      <c r="I54" s="210">
        <f>(Kustannukset!I169)</f>
        <v>0</v>
      </c>
      <c r="J54" s="210">
        <f>(Kustannukset!J169)</f>
        <v>0.10634068773603655</v>
      </c>
      <c r="K54" s="210">
        <f>(Kustannukset!K169)</f>
        <v>4.4931999999999993E-2</v>
      </c>
      <c r="L54" s="210">
        <f>(Kustannukset!L169)</f>
        <v>3.8999999999999998E-3</v>
      </c>
      <c r="M54" s="210">
        <f>(Kustannukset!M169)</f>
        <v>0.55604838709677418</v>
      </c>
      <c r="N54" s="210">
        <f>(Kustannukset!N169)</f>
        <v>0</v>
      </c>
      <c r="O54" s="210">
        <f>Kustannukset!U169-SUM(B54:N54)</f>
        <v>0.60848024432467995</v>
      </c>
    </row>
  </sheetData>
  <mergeCells count="1">
    <mergeCell ref="A1:D4"/>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D16"/>
  <sheetViews>
    <sheetView showGridLines="0" zoomScale="91" workbookViewId="0">
      <selection activeCell="D10" sqref="D10"/>
    </sheetView>
  </sheetViews>
  <sheetFormatPr defaultColWidth="14.453125" defaultRowHeight="15.75" customHeight="1"/>
  <cols>
    <col min="1" max="1" width="35.90625" customWidth="1"/>
    <col min="2" max="2" width="19.54296875" customWidth="1"/>
    <col min="3" max="3" width="34.6328125" customWidth="1"/>
    <col min="4" max="4" width="25.08984375" customWidth="1"/>
  </cols>
  <sheetData>
    <row r="1" spans="1:4" ht="15.75" customHeight="1">
      <c r="A1" s="371" t="s">
        <v>350</v>
      </c>
      <c r="B1" s="319"/>
      <c r="C1" s="319"/>
      <c r="D1" s="320"/>
    </row>
    <row r="2" spans="1:4" ht="15.75" customHeight="1">
      <c r="A2" s="321"/>
      <c r="B2" s="302"/>
      <c r="C2" s="302"/>
      <c r="D2" s="322"/>
    </row>
    <row r="3" spans="1:4" ht="15.75" customHeight="1">
      <c r="A3" s="321"/>
      <c r="B3" s="302"/>
      <c r="C3" s="302"/>
      <c r="D3" s="322"/>
    </row>
    <row r="4" spans="1:4" ht="15.75" customHeight="1">
      <c r="A4" s="323"/>
      <c r="B4" s="324"/>
      <c r="C4" s="324"/>
      <c r="D4" s="325"/>
    </row>
    <row r="5" spans="1:4">
      <c r="B5" s="3"/>
      <c r="C5" s="3"/>
      <c r="D5" s="3"/>
    </row>
    <row r="6" spans="1:4">
      <c r="A6" s="221"/>
      <c r="B6" s="372" t="s">
        <v>351</v>
      </c>
      <c r="C6" s="373"/>
      <c r="D6" s="3"/>
    </row>
    <row r="7" spans="1:4">
      <c r="A7" s="213" t="s">
        <v>16</v>
      </c>
      <c r="B7" s="213" t="s">
        <v>17</v>
      </c>
      <c r="C7" s="214" t="s">
        <v>18</v>
      </c>
      <c r="D7" s="3"/>
    </row>
    <row r="8" spans="1:4">
      <c r="A8" s="215" t="str">
        <f>Lähtötiedot!B3</f>
        <v>Toimija 1</v>
      </c>
      <c r="B8" s="260">
        <f>'Hiilijalanjälki ja veden kulutu'!U15+'Hiilijalanjälki ja veden kulutu'!U24</f>
        <v>2.0393162374997758</v>
      </c>
      <c r="C8" s="260">
        <f ca="1">'Yhteenveto tuloksista, hiilijal'!C6</f>
        <v>4.4399999999999995</v>
      </c>
      <c r="D8" s="260">
        <f>'Yhteenveto tuloksista, hiilijal'!D6</f>
        <v>0</v>
      </c>
    </row>
    <row r="9" spans="1:4">
      <c r="A9" s="215" t="str">
        <f>Lähtötiedot!B5</f>
        <v>Toimija 2</v>
      </c>
      <c r="B9" s="260">
        <f ca="1">'Hiilijalanjälki ja veden kulutu'!U48+'Hiilijalanjälki ja veden kulutu'!U57+'Hiilijalanjälki ja veden kulutu'!U66+'Hiilijalanjälki ja veden kulutu'!U75+'Hiilijalanjälki ja veden kulutu'!U84</f>
        <v>88.152300717324636</v>
      </c>
      <c r="C9" s="260">
        <f ca="1">'Yhteenveto tuloksista, hiilijal'!C7</f>
        <v>162.22</v>
      </c>
      <c r="D9" s="6"/>
    </row>
    <row r="10" spans="1:4">
      <c r="A10" s="215" t="str">
        <f>Lähtötiedot!B10</f>
        <v>Toimija 3</v>
      </c>
      <c r="B10" s="260">
        <f>'Hiilijalanjälki ja veden kulutu'!U126+'Hiilijalanjälki ja veden kulutu'!U133+'Hiilijalanjälki ja veden kulutu'!U140+'Hiilijalanjälki ja veden kulutu'!U147</f>
        <v>14.842892292624805</v>
      </c>
      <c r="C10" s="260">
        <f ca="1">'Yhteenveto tuloksista, hiilijal'!C8</f>
        <v>29.48</v>
      </c>
      <c r="D10" s="6"/>
    </row>
    <row r="11" spans="1:4">
      <c r="A11" s="298"/>
      <c r="B11" s="222"/>
      <c r="C11" s="222"/>
      <c r="D11" s="13"/>
    </row>
    <row r="12" spans="1:4">
      <c r="A12" s="298"/>
      <c r="B12" s="374" t="s">
        <v>352</v>
      </c>
      <c r="C12" s="373"/>
      <c r="D12" s="3"/>
    </row>
    <row r="13" spans="1:4">
      <c r="A13" s="213" t="s">
        <v>16</v>
      </c>
      <c r="B13" s="213" t="s">
        <v>17</v>
      </c>
      <c r="C13" s="214" t="s">
        <v>18</v>
      </c>
      <c r="D13" s="3"/>
    </row>
    <row r="14" spans="1:4">
      <c r="A14" s="215" t="str">
        <f>Lähtötiedot!B3</f>
        <v>Toimija 1</v>
      </c>
      <c r="B14" s="260">
        <f>'Hiilijalanjälki ja veden kulutu'!S16+'Hiilijalanjälki ja veden kulutu'!S25</f>
        <v>0.84697998566401556</v>
      </c>
      <c r="C14" s="260">
        <f ca="1">'Hiilijalanjälki ja veden kulutu'!S33+'Hiilijalanjälki ja veden kulutu'!S40</f>
        <v>9.5669793581789883E-2</v>
      </c>
      <c r="D14" s="6"/>
    </row>
    <row r="15" spans="1:4">
      <c r="A15" s="215" t="str">
        <f>Lähtötiedot!B5</f>
        <v>Toimija 2</v>
      </c>
      <c r="B15" s="260">
        <f ca="1">'Hiilijalanjälki ja veden kulutu'!S49+'Hiilijalanjälki ja veden kulutu'!S58+'Hiilijalanjälki ja veden kulutu'!S67+'Hiilijalanjälki ja veden kulutu'!S76+'Hiilijalanjälki ja veden kulutu'!S85</f>
        <v>12.055775966803685</v>
      </c>
      <c r="C15" s="260">
        <f ca="1">'Hiilijalanjälki ja veden kulutu'!S92+'Hiilijalanjälki ja veden kulutu'!S99+'Hiilijalanjälki ja veden kulutu'!S106+'Hiilijalanjälki ja veden kulutu'!S113+'Hiilijalanjälki ja veden kulutu'!S120</f>
        <v>3.4919474657353313</v>
      </c>
      <c r="D15" s="6"/>
    </row>
    <row r="16" spans="1:4">
      <c r="A16" s="215" t="str">
        <f>Lähtötiedot!B10</f>
        <v>Toimija 3</v>
      </c>
      <c r="B16" s="260">
        <f>'Hiilijalanjälki ja veden kulutu'!S127+'Hiilijalanjälki ja veden kulutu'!S134+'Hiilijalanjälki ja veden kulutu'!S141+'Hiilijalanjälki ja veden kulutu'!S148</f>
        <v>1.0218077929226737</v>
      </c>
      <c r="C16" s="260">
        <f ca="1">'Hiilijalanjälki ja veden kulutu'!S155+'Hiilijalanjälki ja veden kulutu'!S162+'Hiilijalanjälki ja veden kulutu'!S169+'Hiilijalanjälki ja veden kulutu'!S176</f>
        <v>0.63489953922460562</v>
      </c>
      <c r="D16" s="6"/>
    </row>
  </sheetData>
  <mergeCells count="3">
    <mergeCell ref="A1:D4"/>
    <mergeCell ref="B6:C6"/>
    <mergeCell ref="B12:C12"/>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O93"/>
  <sheetViews>
    <sheetView showGridLines="0" zoomScale="59" workbookViewId="0">
      <selection activeCell="I45" sqref="I45"/>
    </sheetView>
  </sheetViews>
  <sheetFormatPr defaultColWidth="14.453125" defaultRowHeight="15.75" customHeight="1"/>
  <cols>
    <col min="1" max="1" width="41.90625" customWidth="1"/>
    <col min="9" max="9" width="31.90625" customWidth="1"/>
  </cols>
  <sheetData>
    <row r="1" spans="1:15" ht="15.75" customHeight="1">
      <c r="A1" s="25"/>
      <c r="B1" s="25"/>
      <c r="C1" s="25"/>
      <c r="D1" s="25"/>
      <c r="E1" s="25"/>
      <c r="F1" s="25"/>
      <c r="G1" s="25"/>
      <c r="H1" s="25"/>
      <c r="I1" s="25"/>
      <c r="J1" s="25"/>
      <c r="K1" s="25"/>
      <c r="L1" s="25"/>
      <c r="M1" s="25"/>
      <c r="N1" s="25"/>
      <c r="O1" s="25"/>
    </row>
    <row r="2" spans="1:15">
      <c r="A2" s="290" t="s">
        <v>353</v>
      </c>
      <c r="B2" s="290" t="s">
        <v>354</v>
      </c>
      <c r="C2" s="290" t="s">
        <v>355</v>
      </c>
      <c r="D2" s="290"/>
      <c r="E2" s="290" t="s">
        <v>156</v>
      </c>
      <c r="F2" s="290"/>
      <c r="G2" s="290"/>
      <c r="H2" s="25"/>
      <c r="I2" s="215" t="s">
        <v>416</v>
      </c>
      <c r="J2" s="243" t="s">
        <v>356</v>
      </c>
      <c r="K2" s="243" t="s">
        <v>357</v>
      </c>
      <c r="L2" s="215" t="s">
        <v>358</v>
      </c>
      <c r="M2" s="218"/>
      <c r="N2" s="25"/>
      <c r="O2" s="25"/>
    </row>
    <row r="3" spans="1:15">
      <c r="A3" s="218" t="s">
        <v>359</v>
      </c>
      <c r="B3" s="227">
        <v>1</v>
      </c>
      <c r="C3" s="227">
        <v>1.6</v>
      </c>
      <c r="D3" s="218" t="s">
        <v>52</v>
      </c>
      <c r="E3" s="218"/>
      <c r="F3" s="218"/>
      <c r="G3" s="218"/>
      <c r="H3" s="25"/>
      <c r="I3" s="215" t="s">
        <v>360</v>
      </c>
      <c r="J3" s="291">
        <f>B14</f>
        <v>18.48</v>
      </c>
      <c r="K3" s="291">
        <f>C14</f>
        <v>29.567999999999998</v>
      </c>
      <c r="L3" s="260">
        <f>J3+K3</f>
        <v>48.048000000000002</v>
      </c>
      <c r="M3" s="218" t="s">
        <v>361</v>
      </c>
      <c r="N3" s="25"/>
      <c r="O3" s="25"/>
    </row>
    <row r="4" spans="1:15">
      <c r="A4" s="218" t="s">
        <v>362</v>
      </c>
      <c r="B4" s="222">
        <v>0.05</v>
      </c>
      <c r="C4" s="222">
        <v>0.05</v>
      </c>
      <c r="D4" s="218"/>
      <c r="E4" s="218"/>
      <c r="F4" s="218"/>
      <c r="G4" s="218"/>
      <c r="H4" s="25"/>
      <c r="I4" s="215" t="s">
        <v>363</v>
      </c>
      <c r="J4" s="291">
        <f>B19</f>
        <v>0.33557999999999999</v>
      </c>
      <c r="K4" s="291">
        <f>C19</f>
        <v>0.53692799999999996</v>
      </c>
      <c r="L4" s="260">
        <f>J4+K4</f>
        <v>0.87250799999999995</v>
      </c>
      <c r="M4" s="218" t="s">
        <v>361</v>
      </c>
      <c r="N4" s="25"/>
      <c r="O4" s="25"/>
    </row>
    <row r="5" spans="1:15">
      <c r="A5" s="218" t="s">
        <v>364</v>
      </c>
      <c r="B5" s="222">
        <f>B3*(1+B4)</f>
        <v>1.05</v>
      </c>
      <c r="C5" s="222">
        <f>C3*(1+C4)</f>
        <v>1.6800000000000002</v>
      </c>
      <c r="D5" s="218" t="s">
        <v>52</v>
      </c>
      <c r="E5" s="218"/>
      <c r="F5" s="218"/>
      <c r="G5" s="218"/>
      <c r="H5" s="25"/>
      <c r="I5" s="215" t="s">
        <v>365</v>
      </c>
      <c r="J5" s="291">
        <f>J3+J4</f>
        <v>18.815580000000001</v>
      </c>
      <c r="K5" s="291">
        <f>K3+K4</f>
        <v>30.104927999999997</v>
      </c>
      <c r="L5" s="260">
        <f>J5+K5</f>
        <v>48.920507999999998</v>
      </c>
      <c r="M5" s="218" t="s">
        <v>361</v>
      </c>
      <c r="N5" s="25"/>
      <c r="O5" s="25"/>
    </row>
    <row r="6" spans="1:15">
      <c r="A6" s="218" t="s">
        <v>366</v>
      </c>
      <c r="B6" s="271">
        <v>0.3</v>
      </c>
      <c r="C6" s="271">
        <v>0.3</v>
      </c>
      <c r="D6" s="218" t="s">
        <v>85</v>
      </c>
      <c r="E6" s="218"/>
      <c r="F6" s="218"/>
      <c r="G6" s="218"/>
      <c r="H6" s="25"/>
      <c r="I6" s="215" t="s">
        <v>367</v>
      </c>
      <c r="J6" s="291">
        <f>B22</f>
        <v>9.4077900000000003</v>
      </c>
      <c r="K6" s="291">
        <f>C22</f>
        <v>15.052463999999999</v>
      </c>
      <c r="L6" s="291">
        <f>J6+K6</f>
        <v>24.460253999999999</v>
      </c>
      <c r="M6" s="218" t="s">
        <v>368</v>
      </c>
      <c r="N6" s="25"/>
      <c r="O6" s="25"/>
    </row>
    <row r="7" spans="1:15" ht="15.75" customHeight="1">
      <c r="A7" s="218" t="s">
        <v>369</v>
      </c>
      <c r="B7" s="271">
        <v>0.7</v>
      </c>
      <c r="C7" s="271">
        <v>0.7</v>
      </c>
      <c r="D7" s="218" t="s">
        <v>85</v>
      </c>
      <c r="E7" s="218"/>
      <c r="F7" s="218"/>
      <c r="G7" s="218"/>
      <c r="H7" s="25"/>
      <c r="I7" s="25"/>
      <c r="J7" s="25"/>
      <c r="K7" s="25"/>
      <c r="L7" s="25"/>
      <c r="M7" s="25"/>
      <c r="N7" s="25"/>
      <c r="O7" s="25"/>
    </row>
    <row r="8" spans="1:15" ht="15.75" customHeight="1">
      <c r="A8" s="218" t="s">
        <v>370</v>
      </c>
      <c r="B8" s="291">
        <f>B5*B6</f>
        <v>0.315</v>
      </c>
      <c r="C8" s="291">
        <f>C5*C6</f>
        <v>0.504</v>
      </c>
      <c r="D8" s="218" t="s">
        <v>52</v>
      </c>
      <c r="E8" s="221"/>
      <c r="F8" s="218"/>
      <c r="G8" s="218"/>
      <c r="H8" s="25"/>
      <c r="I8" s="25"/>
      <c r="J8" s="25"/>
      <c r="K8" s="25"/>
      <c r="L8" s="25"/>
      <c r="M8" s="25"/>
      <c r="N8" s="25"/>
      <c r="O8" s="25"/>
    </row>
    <row r="9" spans="1:15" ht="15.75" customHeight="1">
      <c r="A9" s="218" t="s">
        <v>371</v>
      </c>
      <c r="B9" s="291">
        <f>B5*B7</f>
        <v>0.73499999999999999</v>
      </c>
      <c r="C9" s="291">
        <f>C5*C7</f>
        <v>1.1759999999999999</v>
      </c>
      <c r="D9" s="218" t="s">
        <v>52</v>
      </c>
      <c r="E9" s="221"/>
      <c r="F9" s="218"/>
      <c r="G9" s="218"/>
      <c r="H9" s="25"/>
      <c r="I9" s="25"/>
      <c r="J9" s="25"/>
      <c r="K9" s="25"/>
      <c r="L9" s="25"/>
      <c r="M9" s="25"/>
      <c r="N9" s="25"/>
      <c r="O9" s="25"/>
    </row>
    <row r="10" spans="1:15" ht="15.75" customHeight="1">
      <c r="A10" s="218" t="s">
        <v>372</v>
      </c>
      <c r="B10" s="291">
        <v>22.5</v>
      </c>
      <c r="C10" s="291">
        <v>22.5</v>
      </c>
      <c r="D10" s="218" t="s">
        <v>373</v>
      </c>
      <c r="E10" s="250" t="s">
        <v>374</v>
      </c>
      <c r="F10" s="218"/>
      <c r="G10" s="218"/>
      <c r="H10" s="25"/>
      <c r="I10" s="25"/>
      <c r="J10" s="25"/>
      <c r="K10" s="25"/>
      <c r="L10" s="25"/>
      <c r="M10" s="25"/>
      <c r="N10" s="25"/>
      <c r="O10" s="25"/>
    </row>
    <row r="11" spans="1:15" ht="15.75" customHeight="1">
      <c r="A11" s="218" t="s">
        <v>375</v>
      </c>
      <c r="B11" s="291">
        <f>B8*B10</f>
        <v>7.0875000000000004</v>
      </c>
      <c r="C11" s="291">
        <f>C8*C10</f>
        <v>11.34</v>
      </c>
      <c r="D11" s="218" t="s">
        <v>376</v>
      </c>
      <c r="E11" s="221"/>
      <c r="F11" s="218"/>
      <c r="G11" s="218"/>
      <c r="H11" s="25"/>
      <c r="I11" s="25"/>
      <c r="J11" s="25"/>
      <c r="K11" s="25"/>
      <c r="L11" s="25"/>
      <c r="M11" s="25"/>
      <c r="N11" s="25"/>
      <c r="O11" s="25"/>
    </row>
    <row r="12" spans="1:15">
      <c r="A12" s="218" t="s">
        <v>377</v>
      </c>
      <c r="B12" s="291">
        <v>15.5</v>
      </c>
      <c r="C12" s="291">
        <v>15.5</v>
      </c>
      <c r="D12" s="218" t="s">
        <v>373</v>
      </c>
      <c r="E12" s="250" t="s">
        <v>374</v>
      </c>
      <c r="F12" s="218"/>
      <c r="G12" s="218"/>
      <c r="H12" s="25"/>
      <c r="I12" s="212"/>
      <c r="J12" s="25"/>
      <c r="K12" s="25"/>
      <c r="L12" s="25"/>
      <c r="M12" s="25"/>
      <c r="N12" s="25"/>
      <c r="O12" s="25"/>
    </row>
    <row r="13" spans="1:15">
      <c r="A13" s="218" t="s">
        <v>378</v>
      </c>
      <c r="B13" s="291">
        <f>B9*B12</f>
        <v>11.3925</v>
      </c>
      <c r="C13" s="291">
        <f>C9*C12</f>
        <v>18.227999999999998</v>
      </c>
      <c r="D13" s="218" t="s">
        <v>376</v>
      </c>
      <c r="E13" s="221"/>
      <c r="F13" s="218"/>
      <c r="G13" s="218"/>
      <c r="H13" s="25"/>
      <c r="I13" s="212"/>
      <c r="J13" s="25"/>
      <c r="K13" s="25"/>
      <c r="L13" s="25"/>
      <c r="M13" s="25"/>
      <c r="N13" s="25"/>
      <c r="O13" s="25"/>
    </row>
    <row r="14" spans="1:15">
      <c r="A14" s="215" t="s">
        <v>379</v>
      </c>
      <c r="B14" s="292">
        <f>B11+B13</f>
        <v>18.48</v>
      </c>
      <c r="C14" s="292">
        <f>C11+C13</f>
        <v>29.567999999999998</v>
      </c>
      <c r="D14" s="215" t="s">
        <v>376</v>
      </c>
      <c r="E14" s="221"/>
      <c r="F14" s="218"/>
      <c r="G14" s="218"/>
      <c r="H14" s="25"/>
      <c r="I14" s="25"/>
      <c r="J14" s="25"/>
      <c r="K14" s="25"/>
      <c r="L14" s="25"/>
      <c r="M14" s="25"/>
      <c r="N14" s="25"/>
      <c r="O14" s="25"/>
    </row>
    <row r="15" spans="1:15" ht="15.75" customHeight="1">
      <c r="A15" s="218" t="s">
        <v>380</v>
      </c>
      <c r="B15" s="291">
        <v>2.38</v>
      </c>
      <c r="C15" s="291">
        <v>2.38</v>
      </c>
      <c r="D15" s="218" t="s">
        <v>381</v>
      </c>
      <c r="E15" s="250" t="s">
        <v>382</v>
      </c>
      <c r="F15" s="218"/>
      <c r="G15" s="218"/>
      <c r="H15" s="25"/>
      <c r="I15" s="25"/>
      <c r="J15" s="25"/>
      <c r="K15" s="25"/>
      <c r="L15" s="25"/>
      <c r="M15" s="25"/>
      <c r="N15" s="25"/>
      <c r="O15" s="25"/>
    </row>
    <row r="16" spans="1:15" ht="15.75" customHeight="1">
      <c r="A16" s="218" t="s">
        <v>380</v>
      </c>
      <c r="B16" s="286">
        <f>B15*B3</f>
        <v>2.38</v>
      </c>
      <c r="C16" s="286">
        <f>C15*C3</f>
        <v>3.8079999999999998</v>
      </c>
      <c r="D16" s="279" t="s">
        <v>383</v>
      </c>
      <c r="E16" s="221"/>
      <c r="F16" s="218"/>
      <c r="G16" s="218"/>
      <c r="H16" s="25"/>
      <c r="I16" s="25"/>
      <c r="J16" s="25"/>
      <c r="K16" s="25"/>
      <c r="L16" s="25"/>
      <c r="M16" s="25"/>
      <c r="N16" s="25"/>
      <c r="O16" s="25"/>
    </row>
    <row r="17" spans="1:15" ht="15.75" customHeight="1">
      <c r="A17" s="218" t="s">
        <v>384</v>
      </c>
      <c r="B17" s="286">
        <v>141</v>
      </c>
      <c r="C17" s="286">
        <v>141</v>
      </c>
      <c r="D17" s="279" t="s">
        <v>385</v>
      </c>
      <c r="E17" s="218"/>
      <c r="F17" s="218"/>
      <c r="G17" s="218"/>
      <c r="H17" s="25"/>
      <c r="I17" s="25"/>
      <c r="J17" s="25"/>
      <c r="K17" s="25"/>
      <c r="L17" s="25"/>
      <c r="M17" s="25"/>
      <c r="N17" s="25"/>
      <c r="O17" s="25"/>
    </row>
    <row r="18" spans="1:15" ht="15.75" customHeight="1">
      <c r="A18" s="218" t="s">
        <v>363</v>
      </c>
      <c r="B18" s="291">
        <f>B16*B17</f>
        <v>335.58</v>
      </c>
      <c r="C18" s="291">
        <f>C16*C17</f>
        <v>536.928</v>
      </c>
      <c r="D18" s="293" t="s">
        <v>386</v>
      </c>
      <c r="E18" s="218"/>
      <c r="F18" s="218"/>
      <c r="G18" s="218"/>
      <c r="H18" s="25"/>
      <c r="I18" s="25"/>
      <c r="J18" s="25"/>
      <c r="K18" s="25"/>
      <c r="L18" s="25"/>
      <c r="M18" s="25"/>
      <c r="N18" s="25"/>
      <c r="O18" s="25"/>
    </row>
    <row r="19" spans="1:15">
      <c r="A19" s="215" t="s">
        <v>387</v>
      </c>
      <c r="B19" s="292">
        <f>B18/1000</f>
        <v>0.33557999999999999</v>
      </c>
      <c r="C19" s="292">
        <f>C18/1000</f>
        <v>0.53692799999999996</v>
      </c>
      <c r="D19" s="294" t="s">
        <v>376</v>
      </c>
      <c r="E19" s="218"/>
      <c r="F19" s="218"/>
      <c r="G19" s="218"/>
      <c r="H19" s="25"/>
      <c r="I19" s="25"/>
      <c r="J19" s="25"/>
      <c r="K19" s="25"/>
      <c r="L19" s="25"/>
      <c r="M19" s="25"/>
      <c r="N19" s="25"/>
      <c r="O19" s="25"/>
    </row>
    <row r="20" spans="1:15">
      <c r="A20" s="215" t="s">
        <v>388</v>
      </c>
      <c r="B20" s="292">
        <f>B14+B19</f>
        <v>18.815580000000001</v>
      </c>
      <c r="C20" s="292">
        <f>C14+C19</f>
        <v>30.104927999999997</v>
      </c>
      <c r="D20" s="294" t="s">
        <v>376</v>
      </c>
      <c r="E20" s="218"/>
      <c r="F20" s="218"/>
      <c r="G20" s="218"/>
      <c r="H20" s="25"/>
      <c r="I20" s="25"/>
      <c r="J20" s="25"/>
      <c r="K20" s="25"/>
      <c r="L20" s="25"/>
      <c r="M20" s="25"/>
      <c r="N20" s="25"/>
      <c r="O20" s="25"/>
    </row>
    <row r="21" spans="1:15" ht="15.75" customHeight="1">
      <c r="A21" s="218" t="s">
        <v>389</v>
      </c>
      <c r="B21" s="227">
        <v>2</v>
      </c>
      <c r="C21" s="227">
        <v>2</v>
      </c>
      <c r="D21" s="218" t="s">
        <v>390</v>
      </c>
      <c r="E21" s="218"/>
      <c r="F21" s="218"/>
      <c r="G21" s="218"/>
      <c r="H21" s="25"/>
      <c r="I21" s="25"/>
      <c r="J21" s="25"/>
      <c r="K21" s="25"/>
      <c r="L21" s="25"/>
      <c r="M21" s="25"/>
      <c r="N21" s="25"/>
      <c r="O21" s="25"/>
    </row>
    <row r="22" spans="1:15" ht="15.75" customHeight="1">
      <c r="A22" s="218" t="s">
        <v>391</v>
      </c>
      <c r="B22" s="291">
        <f>B20/B21</f>
        <v>9.4077900000000003</v>
      </c>
      <c r="C22" s="291">
        <f>C20/C21</f>
        <v>15.052463999999999</v>
      </c>
      <c r="D22" s="293" t="s">
        <v>376</v>
      </c>
      <c r="E22" s="218"/>
      <c r="F22" s="218"/>
      <c r="G22" s="218"/>
      <c r="H22" s="25"/>
      <c r="I22" s="25"/>
      <c r="J22" s="25"/>
      <c r="K22" s="25"/>
      <c r="L22" s="25"/>
      <c r="M22" s="25"/>
      <c r="N22" s="25"/>
      <c r="O22" s="25"/>
    </row>
    <row r="23" spans="1:15" ht="15.75" customHeight="1">
      <c r="A23" s="25"/>
      <c r="B23" s="25"/>
      <c r="C23" s="25"/>
      <c r="D23" s="25"/>
      <c r="E23" s="25"/>
      <c r="F23" s="25"/>
      <c r="G23" s="25"/>
      <c r="H23" s="25"/>
      <c r="I23" s="25"/>
      <c r="J23" s="25"/>
      <c r="K23" s="25"/>
      <c r="L23" s="25"/>
      <c r="M23" s="25"/>
      <c r="N23" s="25"/>
      <c r="O23" s="25"/>
    </row>
    <row r="24" spans="1:15" ht="15.75" customHeight="1">
      <c r="A24" s="25"/>
      <c r="B24" s="25"/>
      <c r="C24" s="25"/>
      <c r="D24" s="25"/>
      <c r="E24" s="25"/>
      <c r="F24" s="25"/>
      <c r="G24" s="25"/>
      <c r="H24" s="25"/>
      <c r="I24" s="25"/>
      <c r="J24" s="25"/>
      <c r="K24" s="25"/>
      <c r="L24" s="25"/>
      <c r="M24" s="25"/>
      <c r="N24" s="25"/>
      <c r="O24" s="25"/>
    </row>
    <row r="25" spans="1:15" ht="15.75" customHeight="1">
      <c r="A25" s="25"/>
      <c r="B25" s="25"/>
      <c r="C25" s="25"/>
      <c r="D25" s="25"/>
      <c r="E25" s="25"/>
      <c r="F25" s="25"/>
      <c r="G25" s="25"/>
      <c r="H25" s="25"/>
      <c r="I25" s="25"/>
      <c r="J25" s="25"/>
      <c r="K25" s="25"/>
      <c r="L25" s="25"/>
      <c r="M25" s="25"/>
      <c r="N25" s="25"/>
      <c r="O25" s="25"/>
    </row>
    <row r="26" spans="1:15" ht="15.75" customHeight="1">
      <c r="A26" s="25"/>
      <c r="B26" s="25"/>
      <c r="C26" s="25"/>
      <c r="D26" s="25"/>
      <c r="E26" s="25"/>
      <c r="F26" s="25"/>
      <c r="G26" s="25"/>
      <c r="H26" s="25"/>
      <c r="I26" s="25"/>
      <c r="J26" s="25"/>
      <c r="K26" s="25"/>
      <c r="L26" s="25"/>
      <c r="M26" s="25"/>
      <c r="N26" s="25"/>
      <c r="O26" s="25"/>
    </row>
    <row r="27" spans="1:15" ht="15.75" customHeight="1">
      <c r="A27" s="25"/>
      <c r="B27" s="25"/>
      <c r="C27" s="25"/>
      <c r="D27" s="25"/>
      <c r="E27" s="25"/>
      <c r="F27" s="25"/>
      <c r="G27" s="25"/>
      <c r="H27" s="25"/>
      <c r="I27" s="25"/>
      <c r="J27" s="25"/>
      <c r="K27" s="25"/>
      <c r="L27" s="25"/>
      <c r="M27" s="25"/>
      <c r="N27" s="25"/>
      <c r="O27" s="25"/>
    </row>
    <row r="28" spans="1:15">
      <c r="A28" s="295" t="s">
        <v>392</v>
      </c>
      <c r="B28" s="295" t="s">
        <v>354</v>
      </c>
      <c r="C28" s="295" t="s">
        <v>355</v>
      </c>
      <c r="D28" s="295" t="s">
        <v>393</v>
      </c>
      <c r="E28" s="295" t="s">
        <v>394</v>
      </c>
      <c r="F28" s="295" t="s">
        <v>395</v>
      </c>
      <c r="G28" s="295"/>
      <c r="H28" s="25"/>
      <c r="I28" s="215" t="s">
        <v>54</v>
      </c>
      <c r="J28" s="243" t="s">
        <v>396</v>
      </c>
      <c r="K28" s="243" t="s">
        <v>397</v>
      </c>
      <c r="L28" s="243" t="s">
        <v>398</v>
      </c>
      <c r="M28" s="243" t="s">
        <v>399</v>
      </c>
      <c r="N28" s="243" t="s">
        <v>400</v>
      </c>
      <c r="O28" s="215" t="s">
        <v>358</v>
      </c>
    </row>
    <row r="29" spans="1:15">
      <c r="A29" s="218" t="s">
        <v>359</v>
      </c>
      <c r="B29" s="291">
        <v>0.16500000000000001</v>
      </c>
      <c r="C29" s="291">
        <v>0.31</v>
      </c>
      <c r="D29" s="291">
        <v>0.316</v>
      </c>
      <c r="E29" s="291">
        <v>3.3000000000000002E-2</v>
      </c>
      <c r="F29" s="291">
        <v>0.22700000000000001</v>
      </c>
      <c r="G29" s="218" t="s">
        <v>52</v>
      </c>
      <c r="H29" s="25"/>
      <c r="I29" s="215" t="s">
        <v>360</v>
      </c>
      <c r="J29" s="291">
        <f>B40</f>
        <v>3.1098375000000003</v>
      </c>
      <c r="K29" s="291">
        <f>C40</f>
        <v>5.8427249999999997</v>
      </c>
      <c r="L29" s="291">
        <f>D40</f>
        <v>5.9558100000000005</v>
      </c>
      <c r="M29" s="291">
        <f>E40</f>
        <v>0.62196750000000001</v>
      </c>
      <c r="N29" s="291">
        <f>F40</f>
        <v>4.2783824999999993</v>
      </c>
      <c r="O29" s="260">
        <f>J29+K29+L29+M29+N29</f>
        <v>19.808722499999998</v>
      </c>
    </row>
    <row r="30" spans="1:15">
      <c r="A30" s="218" t="s">
        <v>362</v>
      </c>
      <c r="B30" s="291">
        <v>0.05</v>
      </c>
      <c r="C30" s="291">
        <v>0.05</v>
      </c>
      <c r="D30" s="291">
        <v>0.05</v>
      </c>
      <c r="E30" s="291">
        <v>0.05</v>
      </c>
      <c r="F30" s="291">
        <v>0.05</v>
      </c>
      <c r="G30" s="218"/>
      <c r="H30" s="25"/>
      <c r="I30" s="215" t="s">
        <v>363</v>
      </c>
      <c r="J30" s="291">
        <f>B45</f>
        <v>5.5370700000000002E-2</v>
      </c>
      <c r="K30" s="291">
        <f>C45</f>
        <v>0.10402979999999999</v>
      </c>
      <c r="L30" s="291">
        <f>D45</f>
        <v>0.10604327999999999</v>
      </c>
      <c r="M30" s="291">
        <f>E45</f>
        <v>1.107414E-2</v>
      </c>
      <c r="N30" s="291">
        <f>F45</f>
        <v>7.6176659999999993E-2</v>
      </c>
      <c r="O30" s="260">
        <f>J30+K30+L30+M30+N30</f>
        <v>0.35269458000000004</v>
      </c>
    </row>
    <row r="31" spans="1:15">
      <c r="A31" s="218" t="s">
        <v>364</v>
      </c>
      <c r="B31" s="291">
        <f>B29*(1+B30)</f>
        <v>0.17325000000000002</v>
      </c>
      <c r="C31" s="291">
        <f>C29*(1+C30)</f>
        <v>0.32550000000000001</v>
      </c>
      <c r="D31" s="291">
        <f>D29*(1+D30)</f>
        <v>0.33180000000000004</v>
      </c>
      <c r="E31" s="291">
        <f>E29*(1+E30)</f>
        <v>3.465E-2</v>
      </c>
      <c r="F31" s="291">
        <f>F29*(1+F30)</f>
        <v>0.23835000000000001</v>
      </c>
      <c r="G31" s="218" t="s">
        <v>52</v>
      </c>
      <c r="H31" s="25"/>
      <c r="I31" s="215" t="s">
        <v>365</v>
      </c>
      <c r="J31" s="291">
        <f>J29+J30</f>
        <v>3.1652082000000004</v>
      </c>
      <c r="K31" s="291">
        <f>K29+K30</f>
        <v>5.9467547999999999</v>
      </c>
      <c r="L31" s="291">
        <f>L29+L30</f>
        <v>6.0618532800000002</v>
      </c>
      <c r="M31" s="291">
        <f>M29+M30</f>
        <v>0.63304163999999996</v>
      </c>
      <c r="N31" s="291">
        <f>N29+N30</f>
        <v>4.3545591599999991</v>
      </c>
      <c r="O31" s="260">
        <f>J31+K31+L31+M31+N31</f>
        <v>20.16141708</v>
      </c>
    </row>
    <row r="32" spans="1:15">
      <c r="A32" s="218" t="s">
        <v>369</v>
      </c>
      <c r="B32" s="271">
        <v>0.65</v>
      </c>
      <c r="C32" s="271">
        <v>0.65</v>
      </c>
      <c r="D32" s="271">
        <v>0.65</v>
      </c>
      <c r="E32" s="271">
        <v>0.65</v>
      </c>
      <c r="F32" s="271">
        <v>0.65</v>
      </c>
      <c r="G32" s="218" t="s">
        <v>85</v>
      </c>
      <c r="H32" s="25"/>
      <c r="I32" s="215" t="s">
        <v>367</v>
      </c>
      <c r="J32" s="291">
        <f>B48</f>
        <v>1.5826041000000002</v>
      </c>
      <c r="K32" s="291">
        <f>C48</f>
        <v>2.9733773999999999</v>
      </c>
      <c r="L32" s="291">
        <f>D48</f>
        <v>3.0309266400000001</v>
      </c>
      <c r="M32" s="291">
        <f>E48</f>
        <v>0.31652081999999998</v>
      </c>
      <c r="N32" s="291">
        <f>F48</f>
        <v>2.1772795799999995</v>
      </c>
      <c r="O32" s="291">
        <f>J32+K32+L32+M32+N32</f>
        <v>10.08070854</v>
      </c>
    </row>
    <row r="33" spans="1:15" ht="15.75" customHeight="1">
      <c r="A33" s="218" t="s">
        <v>366</v>
      </c>
      <c r="B33" s="271">
        <v>0.35</v>
      </c>
      <c r="C33" s="271">
        <v>0.35</v>
      </c>
      <c r="D33" s="271">
        <v>0.35</v>
      </c>
      <c r="E33" s="271">
        <v>0.35</v>
      </c>
      <c r="F33" s="271">
        <v>0.35</v>
      </c>
      <c r="G33" s="218" t="s">
        <v>85</v>
      </c>
      <c r="H33" s="25"/>
      <c r="I33" s="25"/>
      <c r="J33" s="25"/>
      <c r="K33" s="25"/>
      <c r="L33" s="25"/>
      <c r="M33" s="25"/>
      <c r="N33" s="25"/>
      <c r="O33" s="25"/>
    </row>
    <row r="34" spans="1:15" ht="15.75" customHeight="1">
      <c r="A34" s="218" t="s">
        <v>370</v>
      </c>
      <c r="B34" s="291">
        <f>B31*B33</f>
        <v>6.0637500000000004E-2</v>
      </c>
      <c r="C34" s="291">
        <f>C31*C33</f>
        <v>0.113925</v>
      </c>
      <c r="D34" s="291">
        <f>D31*D33</f>
        <v>0.11613000000000001</v>
      </c>
      <c r="E34" s="291">
        <f>E31*E33</f>
        <v>1.2127499999999999E-2</v>
      </c>
      <c r="F34" s="291">
        <f>F31*F33</f>
        <v>8.3422499999999997E-2</v>
      </c>
      <c r="G34" s="218" t="s">
        <v>52</v>
      </c>
      <c r="H34" s="25"/>
      <c r="I34" s="25"/>
      <c r="J34" s="25"/>
      <c r="K34" s="25"/>
      <c r="L34" s="25"/>
      <c r="M34" s="25"/>
      <c r="N34" s="25"/>
      <c r="O34" s="25"/>
    </row>
    <row r="35" spans="1:15" ht="15.75" customHeight="1">
      <c r="A35" s="218" t="s">
        <v>371</v>
      </c>
      <c r="B35" s="291">
        <f>B31*B32</f>
        <v>0.11261250000000002</v>
      </c>
      <c r="C35" s="291">
        <f>C31*C32</f>
        <v>0.21157500000000001</v>
      </c>
      <c r="D35" s="291">
        <f>D31*D32</f>
        <v>0.21567000000000003</v>
      </c>
      <c r="E35" s="291">
        <f>E31*E32</f>
        <v>2.2522500000000001E-2</v>
      </c>
      <c r="F35" s="291">
        <f>F31*F32</f>
        <v>0.1549275</v>
      </c>
      <c r="G35" s="250" t="s">
        <v>52</v>
      </c>
      <c r="I35" s="25"/>
      <c r="J35" s="25"/>
      <c r="K35" s="25"/>
      <c r="L35" s="25"/>
      <c r="M35" s="25"/>
      <c r="N35" s="25"/>
      <c r="O35" s="25"/>
    </row>
    <row r="36" spans="1:15" ht="15.75" customHeight="1">
      <c r="A36" s="218" t="s">
        <v>372</v>
      </c>
      <c r="B36" s="291">
        <v>22.5</v>
      </c>
      <c r="C36" s="291">
        <v>22.5</v>
      </c>
      <c r="D36" s="291">
        <v>22.5</v>
      </c>
      <c r="E36" s="291">
        <v>22.5</v>
      </c>
      <c r="F36" s="291">
        <v>22.5</v>
      </c>
      <c r="G36" s="250" t="s">
        <v>373</v>
      </c>
      <c r="I36" s="25"/>
      <c r="J36" s="25"/>
      <c r="K36" s="25"/>
      <c r="L36" s="25"/>
      <c r="M36" s="25"/>
      <c r="N36" s="25"/>
      <c r="O36" s="25"/>
    </row>
    <row r="37" spans="1:15" ht="15.75" customHeight="1">
      <c r="A37" s="218" t="s">
        <v>375</v>
      </c>
      <c r="B37" s="291">
        <f>B34*B36</f>
        <v>1.3643437500000002</v>
      </c>
      <c r="C37" s="291">
        <f>C34*C36</f>
        <v>2.5633124999999999</v>
      </c>
      <c r="D37" s="291">
        <f>D34*D36</f>
        <v>2.6129250000000002</v>
      </c>
      <c r="E37" s="291">
        <f>E34*E36</f>
        <v>0.27286874999999999</v>
      </c>
      <c r="F37" s="291">
        <f>F34*F36</f>
        <v>1.87700625</v>
      </c>
      <c r="G37" s="250" t="s">
        <v>376</v>
      </c>
      <c r="I37" s="25"/>
      <c r="J37" s="25"/>
      <c r="K37" s="25"/>
      <c r="L37" s="25"/>
      <c r="M37" s="25"/>
      <c r="N37" s="25"/>
      <c r="O37" s="25"/>
    </row>
    <row r="38" spans="1:15" ht="15.75" customHeight="1">
      <c r="A38" s="218" t="s">
        <v>377</v>
      </c>
      <c r="B38" s="291">
        <v>15.5</v>
      </c>
      <c r="C38" s="291">
        <v>15.5</v>
      </c>
      <c r="D38" s="291">
        <v>15.5</v>
      </c>
      <c r="E38" s="291">
        <v>15.5</v>
      </c>
      <c r="F38" s="291">
        <v>15.5</v>
      </c>
      <c r="G38" s="250" t="s">
        <v>373</v>
      </c>
      <c r="I38" s="25"/>
      <c r="J38" s="25"/>
      <c r="K38" s="25"/>
      <c r="L38" s="25"/>
      <c r="M38" s="25"/>
      <c r="N38" s="25"/>
      <c r="O38" s="25"/>
    </row>
    <row r="39" spans="1:15" ht="15.75" customHeight="1">
      <c r="A39" s="218" t="s">
        <v>378</v>
      </c>
      <c r="B39" s="291">
        <f>B35*B38</f>
        <v>1.7454937500000003</v>
      </c>
      <c r="C39" s="291">
        <f>C35*C38</f>
        <v>3.2794125000000003</v>
      </c>
      <c r="D39" s="291">
        <f>D35*D38</f>
        <v>3.3428850000000003</v>
      </c>
      <c r="E39" s="291">
        <f>E35*E38</f>
        <v>0.34909875000000001</v>
      </c>
      <c r="F39" s="291">
        <f>F35*F38</f>
        <v>2.4013762499999998</v>
      </c>
      <c r="G39" s="250" t="s">
        <v>376</v>
      </c>
      <c r="I39" s="25"/>
      <c r="J39" s="25"/>
      <c r="K39" s="25"/>
      <c r="L39" s="25"/>
      <c r="M39" s="25"/>
      <c r="N39" s="25"/>
      <c r="O39" s="25"/>
    </row>
    <row r="40" spans="1:15">
      <c r="A40" s="215" t="s">
        <v>379</v>
      </c>
      <c r="B40" s="292">
        <f>B37+B39</f>
        <v>3.1098375000000003</v>
      </c>
      <c r="C40" s="292">
        <f>C37+C39</f>
        <v>5.8427249999999997</v>
      </c>
      <c r="D40" s="292">
        <f>D37+D39</f>
        <v>5.9558100000000005</v>
      </c>
      <c r="E40" s="292">
        <f>E37+E39</f>
        <v>0.62196750000000001</v>
      </c>
      <c r="F40" s="292">
        <f>F37+F39</f>
        <v>4.2783824999999993</v>
      </c>
      <c r="G40" s="250" t="s">
        <v>376</v>
      </c>
      <c r="I40" s="25"/>
      <c r="J40" s="25"/>
      <c r="K40" s="25"/>
      <c r="L40" s="25"/>
      <c r="M40" s="25"/>
      <c r="N40" s="25"/>
      <c r="O40" s="25"/>
    </row>
    <row r="41" spans="1:15" ht="15.75" customHeight="1">
      <c r="A41" s="218" t="s">
        <v>380</v>
      </c>
      <c r="B41" s="291">
        <v>2.38</v>
      </c>
      <c r="C41" s="291">
        <v>2.38</v>
      </c>
      <c r="D41" s="291">
        <v>2.38</v>
      </c>
      <c r="E41" s="291">
        <v>2.38</v>
      </c>
      <c r="F41" s="291">
        <v>2.38</v>
      </c>
      <c r="G41" s="250" t="s">
        <v>381</v>
      </c>
      <c r="H41" s="26" t="s">
        <v>382</v>
      </c>
      <c r="I41" s="25"/>
      <c r="J41" s="25"/>
      <c r="K41" s="25"/>
      <c r="L41" s="25"/>
      <c r="M41" s="25"/>
      <c r="N41" s="25"/>
      <c r="O41" s="25"/>
    </row>
    <row r="42" spans="1:15" ht="12.5">
      <c r="A42" s="218" t="s">
        <v>380</v>
      </c>
      <c r="B42" s="286">
        <f>B41*B29</f>
        <v>0.39269999999999999</v>
      </c>
      <c r="C42" s="286">
        <f>C41*C29</f>
        <v>0.73780000000000001</v>
      </c>
      <c r="D42" s="286">
        <f>D41*D29</f>
        <v>0.75207999999999997</v>
      </c>
      <c r="E42" s="286">
        <f>E41*E29</f>
        <v>7.8539999999999999E-2</v>
      </c>
      <c r="F42" s="286">
        <f>F41*F29</f>
        <v>0.54025999999999996</v>
      </c>
      <c r="G42" s="250" t="s">
        <v>383</v>
      </c>
      <c r="I42" s="25"/>
      <c r="J42" s="25"/>
      <c r="K42" s="25"/>
      <c r="L42" s="25"/>
      <c r="M42" s="25"/>
      <c r="N42" s="25"/>
      <c r="O42" s="25"/>
    </row>
    <row r="43" spans="1:15" ht="12.5">
      <c r="A43" s="218" t="s">
        <v>384</v>
      </c>
      <c r="B43" s="286">
        <v>141</v>
      </c>
      <c r="C43" s="286">
        <v>141</v>
      </c>
      <c r="D43" s="286">
        <v>141</v>
      </c>
      <c r="E43" s="286">
        <v>141</v>
      </c>
      <c r="F43" s="286">
        <v>141</v>
      </c>
      <c r="G43" s="279" t="s">
        <v>385</v>
      </c>
      <c r="H43" s="25"/>
      <c r="I43" s="25"/>
      <c r="J43" s="25"/>
      <c r="K43" s="25"/>
      <c r="L43" s="25"/>
      <c r="M43" s="25"/>
      <c r="N43" s="25"/>
      <c r="O43" s="25"/>
    </row>
    <row r="44" spans="1:15" ht="12.5">
      <c r="A44" s="218" t="s">
        <v>363</v>
      </c>
      <c r="B44" s="291">
        <f>B42*B43</f>
        <v>55.370699999999999</v>
      </c>
      <c r="C44" s="291">
        <f>C42*C43</f>
        <v>104.02979999999999</v>
      </c>
      <c r="D44" s="291">
        <f>D42*D43</f>
        <v>106.04328</v>
      </c>
      <c r="E44" s="291">
        <f>E42*E43</f>
        <v>11.07414</v>
      </c>
      <c r="F44" s="291">
        <f>F42*F43</f>
        <v>76.176659999999998</v>
      </c>
      <c r="G44" s="293" t="s">
        <v>386</v>
      </c>
      <c r="H44" s="25"/>
      <c r="I44" s="25"/>
      <c r="J44" s="25"/>
      <c r="K44" s="25"/>
      <c r="L44" s="25"/>
      <c r="M44" s="25"/>
      <c r="N44" s="25"/>
      <c r="O44" s="25"/>
    </row>
    <row r="45" spans="1:15" ht="13">
      <c r="A45" s="215" t="s">
        <v>387</v>
      </c>
      <c r="B45" s="292">
        <f>B44/1000</f>
        <v>5.5370700000000002E-2</v>
      </c>
      <c r="C45" s="292">
        <f>C44/1000</f>
        <v>0.10402979999999999</v>
      </c>
      <c r="D45" s="292">
        <f>D44/1000</f>
        <v>0.10604327999999999</v>
      </c>
      <c r="E45" s="292">
        <f>E44/1000</f>
        <v>1.107414E-2</v>
      </c>
      <c r="F45" s="292">
        <f>F44/1000</f>
        <v>7.6176659999999993E-2</v>
      </c>
      <c r="G45" s="218" t="s">
        <v>376</v>
      </c>
      <c r="H45" s="25"/>
      <c r="I45" s="25"/>
      <c r="J45" s="25"/>
      <c r="K45" s="25"/>
      <c r="L45" s="25"/>
      <c r="M45" s="25"/>
      <c r="N45" s="25"/>
      <c r="O45" s="25"/>
    </row>
    <row r="46" spans="1:15" ht="13">
      <c r="A46" s="215" t="s">
        <v>388</v>
      </c>
      <c r="B46" s="292">
        <f>B40+B45</f>
        <v>3.1652082000000004</v>
      </c>
      <c r="C46" s="292">
        <f>C40+C45</f>
        <v>5.9467547999999999</v>
      </c>
      <c r="D46" s="292">
        <f>D40+D45</f>
        <v>6.0618532800000002</v>
      </c>
      <c r="E46" s="292">
        <f>E40+E45</f>
        <v>0.63304163999999996</v>
      </c>
      <c r="F46" s="292">
        <f>F40+F45</f>
        <v>4.3545591599999991</v>
      </c>
      <c r="G46" s="218" t="s">
        <v>376</v>
      </c>
      <c r="H46" s="25"/>
      <c r="I46" s="25"/>
      <c r="J46" s="25"/>
      <c r="K46" s="25"/>
      <c r="L46" s="25"/>
      <c r="M46" s="25"/>
      <c r="N46" s="25"/>
      <c r="O46" s="25"/>
    </row>
    <row r="47" spans="1:15" ht="12.5">
      <c r="A47" s="218" t="s">
        <v>389</v>
      </c>
      <c r="B47" s="227">
        <v>2</v>
      </c>
      <c r="C47" s="227">
        <v>2</v>
      </c>
      <c r="D47" s="264">
        <v>2</v>
      </c>
      <c r="E47" s="227">
        <v>2</v>
      </c>
      <c r="F47" s="227">
        <v>2</v>
      </c>
      <c r="G47" s="218" t="s">
        <v>390</v>
      </c>
      <c r="H47" s="25"/>
      <c r="I47" s="25"/>
      <c r="J47" s="25"/>
      <c r="K47" s="25"/>
      <c r="L47" s="25"/>
      <c r="M47" s="25"/>
      <c r="N47" s="25"/>
      <c r="O47" s="25"/>
    </row>
    <row r="48" spans="1:15" ht="12.5">
      <c r="A48" s="218" t="s">
        <v>391</v>
      </c>
      <c r="B48" s="222">
        <f>B46/B47</f>
        <v>1.5826041000000002</v>
      </c>
      <c r="C48" s="222">
        <f>C46/C47</f>
        <v>2.9733773999999999</v>
      </c>
      <c r="D48" s="222">
        <f>D46/D47</f>
        <v>3.0309266400000001</v>
      </c>
      <c r="E48" s="222">
        <f>E46/E47</f>
        <v>0.31652081999999998</v>
      </c>
      <c r="F48" s="222">
        <f>F46/F47</f>
        <v>2.1772795799999995</v>
      </c>
      <c r="G48" s="293" t="s">
        <v>376</v>
      </c>
      <c r="H48" s="25"/>
      <c r="I48" s="25"/>
      <c r="J48" s="25"/>
      <c r="K48" s="25"/>
      <c r="L48" s="25"/>
      <c r="M48" s="25"/>
      <c r="N48" s="25"/>
      <c r="O48" s="25"/>
    </row>
    <row r="49" spans="1:15" ht="12.5">
      <c r="A49" s="25"/>
      <c r="B49" s="25"/>
      <c r="C49" s="25"/>
      <c r="D49" s="25"/>
      <c r="E49" s="25"/>
      <c r="F49" s="25"/>
      <c r="G49" s="25"/>
      <c r="H49" s="25"/>
      <c r="I49" s="25"/>
      <c r="J49" s="25"/>
      <c r="K49" s="25"/>
      <c r="L49" s="25"/>
      <c r="M49" s="25"/>
      <c r="N49" s="25"/>
      <c r="O49" s="25"/>
    </row>
    <row r="50" spans="1:15" ht="12.5">
      <c r="A50" s="25"/>
      <c r="B50" s="25"/>
      <c r="C50" s="25"/>
      <c r="D50" s="25"/>
      <c r="E50" s="25"/>
      <c r="F50" s="25"/>
      <c r="G50" s="25"/>
      <c r="H50" s="25"/>
      <c r="I50" s="25"/>
      <c r="J50" s="25"/>
      <c r="K50" s="25"/>
      <c r="L50" s="25"/>
      <c r="M50" s="25"/>
      <c r="N50" s="25"/>
      <c r="O50" s="25"/>
    </row>
    <row r="51" spans="1:15" ht="12.5">
      <c r="A51" s="25"/>
      <c r="B51" s="25"/>
      <c r="C51" s="25"/>
      <c r="D51" s="25"/>
      <c r="E51" s="25"/>
      <c r="F51" s="25"/>
      <c r="G51" s="25"/>
      <c r="H51" s="25"/>
      <c r="I51" s="25"/>
      <c r="J51" s="25"/>
      <c r="K51" s="25"/>
      <c r="L51" s="25"/>
      <c r="M51" s="25"/>
      <c r="N51" s="25"/>
      <c r="O51" s="25"/>
    </row>
    <row r="52" spans="1:15" ht="12.5">
      <c r="A52" s="25"/>
      <c r="B52" s="25"/>
      <c r="C52" s="25"/>
      <c r="D52" s="25"/>
      <c r="E52" s="25"/>
      <c r="F52" s="25"/>
      <c r="G52" s="25"/>
      <c r="H52" s="25"/>
      <c r="I52" s="25"/>
      <c r="J52" s="25"/>
      <c r="K52" s="25"/>
      <c r="L52" s="25"/>
      <c r="M52" s="25"/>
      <c r="N52" s="25"/>
      <c r="O52" s="25"/>
    </row>
    <row r="53" spans="1:15" ht="13">
      <c r="A53" s="296" t="s">
        <v>401</v>
      </c>
      <c r="B53" s="296" t="s">
        <v>354</v>
      </c>
      <c r="C53" s="296" t="s">
        <v>355</v>
      </c>
      <c r="D53" s="296" t="s">
        <v>393</v>
      </c>
      <c r="E53" s="296" t="s">
        <v>394</v>
      </c>
      <c r="F53" s="296"/>
      <c r="G53" s="296"/>
      <c r="H53" s="25"/>
      <c r="I53" s="215" t="s">
        <v>402</v>
      </c>
      <c r="J53" s="243" t="s">
        <v>403</v>
      </c>
      <c r="K53" s="243" t="s">
        <v>404</v>
      </c>
      <c r="L53" s="243" t="s">
        <v>405</v>
      </c>
      <c r="M53" s="243" t="s">
        <v>406</v>
      </c>
      <c r="N53" s="215" t="s">
        <v>358</v>
      </c>
      <c r="O53" s="218"/>
    </row>
    <row r="54" spans="1:15" ht="13">
      <c r="A54" s="218" t="s">
        <v>359</v>
      </c>
      <c r="B54" s="291">
        <v>0.65500000000000003</v>
      </c>
      <c r="C54" s="291">
        <v>0.65</v>
      </c>
      <c r="D54" s="291">
        <v>0.75</v>
      </c>
      <c r="E54" s="291">
        <v>0.12</v>
      </c>
      <c r="F54" s="218" t="s">
        <v>52</v>
      </c>
      <c r="G54" s="218"/>
      <c r="H54" s="25"/>
      <c r="I54" s="215" t="s">
        <v>360</v>
      </c>
      <c r="J54" s="291">
        <f>B73</f>
        <v>11.004000000000003</v>
      </c>
      <c r="K54" s="291">
        <f>C73</f>
        <v>10.817625</v>
      </c>
      <c r="L54" s="291">
        <f>D73</f>
        <v>16.616250000000004</v>
      </c>
      <c r="M54" s="291">
        <f>E73</f>
        <v>1.9530000000000001</v>
      </c>
      <c r="N54" s="260">
        <f>J54+K54+L54+M54</f>
        <v>40.390875000000008</v>
      </c>
      <c r="O54" s="218" t="s">
        <v>361</v>
      </c>
    </row>
    <row r="55" spans="1:15" ht="13">
      <c r="A55" s="218" t="s">
        <v>362</v>
      </c>
      <c r="B55" s="291">
        <v>0.05</v>
      </c>
      <c r="C55" s="291">
        <v>0.05</v>
      </c>
      <c r="D55" s="291">
        <v>0.05</v>
      </c>
      <c r="E55" s="291">
        <v>0.05</v>
      </c>
      <c r="F55" s="218"/>
      <c r="G55" s="218"/>
      <c r="H55" s="25"/>
      <c r="I55" s="215" t="s">
        <v>363</v>
      </c>
      <c r="J55" s="291">
        <f>B78</f>
        <v>0.2198049</v>
      </c>
      <c r="K55" s="291">
        <f>C78</f>
        <v>0.21812699999999999</v>
      </c>
      <c r="L55" s="291">
        <f>D78</f>
        <v>0.25168499999999999</v>
      </c>
      <c r="M55" s="291">
        <f>E78</f>
        <v>4.0269599999999996E-2</v>
      </c>
      <c r="N55" s="260">
        <f>J55+K55+L55+M55</f>
        <v>0.72988649999999999</v>
      </c>
      <c r="O55" s="218" t="s">
        <v>361</v>
      </c>
    </row>
    <row r="56" spans="1:15" ht="13">
      <c r="A56" s="218" t="s">
        <v>364</v>
      </c>
      <c r="B56" s="291">
        <f>B54*(1+B55)</f>
        <v>0.68775000000000008</v>
      </c>
      <c r="C56" s="291">
        <f>C54*(1+C55)</f>
        <v>0.68250000000000011</v>
      </c>
      <c r="D56" s="291">
        <f>D54*(1+D55)</f>
        <v>0.78750000000000009</v>
      </c>
      <c r="E56" s="291">
        <f>E54*(1+E55)</f>
        <v>0.126</v>
      </c>
      <c r="F56" s="218"/>
      <c r="G56" s="218"/>
      <c r="H56" s="25"/>
      <c r="I56" s="215" t="s">
        <v>365</v>
      </c>
      <c r="J56" s="291">
        <f>J54+J55</f>
        <v>11.223804900000003</v>
      </c>
      <c r="K56" s="291">
        <f>K54+K55</f>
        <v>11.035752</v>
      </c>
      <c r="L56" s="291">
        <f>L54+L55</f>
        <v>16.867935000000003</v>
      </c>
      <c r="M56" s="291">
        <f>M54+M55</f>
        <v>1.9932696000000001</v>
      </c>
      <c r="N56" s="260">
        <f>J56+K56+L56+M56</f>
        <v>41.120761500000008</v>
      </c>
      <c r="O56" s="218" t="s">
        <v>361</v>
      </c>
    </row>
    <row r="57" spans="1:15" ht="13">
      <c r="A57" s="218" t="s">
        <v>369</v>
      </c>
      <c r="B57" s="271">
        <v>0.8</v>
      </c>
      <c r="C57" s="271">
        <v>0.86</v>
      </c>
      <c r="D57" s="271">
        <v>0.2</v>
      </c>
      <c r="E57" s="271">
        <v>1</v>
      </c>
      <c r="F57" s="218"/>
      <c r="G57" s="218"/>
      <c r="H57" s="25"/>
      <c r="I57" s="215" t="s">
        <v>367</v>
      </c>
      <c r="J57" s="291">
        <f>B81</f>
        <v>5.6119024500000014</v>
      </c>
      <c r="K57" s="291">
        <f>C81</f>
        <v>5.5178760000000002</v>
      </c>
      <c r="L57" s="291">
        <f>D81</f>
        <v>8.4339675000000014</v>
      </c>
      <c r="M57" s="291">
        <f>E81</f>
        <v>0.99663480000000004</v>
      </c>
      <c r="N57" s="291">
        <f>J57+K57+L57+M57</f>
        <v>20.560380750000004</v>
      </c>
      <c r="O57" s="218" t="s">
        <v>368</v>
      </c>
    </row>
    <row r="58" spans="1:15" ht="12.5">
      <c r="A58" s="218" t="s">
        <v>366</v>
      </c>
      <c r="B58" s="271"/>
      <c r="C58" s="271"/>
      <c r="D58" s="271">
        <v>0.8</v>
      </c>
      <c r="E58" s="271"/>
      <c r="F58" s="218"/>
      <c r="G58" s="218"/>
      <c r="H58" s="25"/>
      <c r="I58" s="25"/>
      <c r="J58" s="25"/>
      <c r="K58" s="25"/>
      <c r="L58" s="25"/>
      <c r="M58" s="25"/>
      <c r="N58" s="25"/>
      <c r="O58" s="25"/>
    </row>
    <row r="59" spans="1:15" ht="12.5">
      <c r="A59" s="218" t="s">
        <v>407</v>
      </c>
      <c r="B59" s="271">
        <v>0.2</v>
      </c>
      <c r="C59" s="271">
        <v>0.12</v>
      </c>
      <c r="D59" s="271"/>
      <c r="E59" s="271"/>
      <c r="F59" s="218"/>
      <c r="G59" s="218"/>
      <c r="H59" s="25"/>
      <c r="I59" s="25"/>
      <c r="J59" s="25"/>
      <c r="K59" s="25"/>
      <c r="L59" s="25"/>
      <c r="M59" s="25"/>
      <c r="N59" s="25"/>
      <c r="O59" s="25"/>
    </row>
    <row r="60" spans="1:15" ht="12.5">
      <c r="A60" s="218" t="s">
        <v>408</v>
      </c>
      <c r="B60" s="271"/>
      <c r="C60" s="271">
        <v>0.02</v>
      </c>
      <c r="D60" s="271"/>
      <c r="E60" s="271"/>
      <c r="F60" s="218"/>
      <c r="G60" s="218"/>
      <c r="H60" s="25"/>
      <c r="I60" s="25"/>
      <c r="J60" s="25"/>
      <c r="K60" s="25"/>
      <c r="L60" s="25"/>
      <c r="M60" s="25"/>
      <c r="N60" s="25"/>
      <c r="O60" s="25"/>
    </row>
    <row r="61" spans="1:15" ht="12.5">
      <c r="A61" s="218" t="s">
        <v>371</v>
      </c>
      <c r="B61" s="291">
        <f>B56*B57</f>
        <v>0.55020000000000013</v>
      </c>
      <c r="C61" s="291">
        <f>C56*C57</f>
        <v>0.58695000000000008</v>
      </c>
      <c r="D61" s="291">
        <f>D56*D57</f>
        <v>0.15750000000000003</v>
      </c>
      <c r="E61" s="291">
        <f>E56*E57</f>
        <v>0.126</v>
      </c>
      <c r="F61" s="218"/>
      <c r="G61" s="218"/>
      <c r="H61" s="25"/>
      <c r="I61" s="25"/>
      <c r="J61" s="25"/>
      <c r="K61" s="25"/>
      <c r="L61" s="25"/>
      <c r="M61" s="25"/>
      <c r="N61" s="25"/>
      <c r="O61" s="25"/>
    </row>
    <row r="62" spans="1:15" ht="12.5">
      <c r="A62" s="218" t="s">
        <v>370</v>
      </c>
      <c r="B62" s="291">
        <f>B56*B58</f>
        <v>0</v>
      </c>
      <c r="C62" s="291">
        <f>C56*C58</f>
        <v>0</v>
      </c>
      <c r="D62" s="291">
        <f>D56*D58</f>
        <v>0.63000000000000012</v>
      </c>
      <c r="E62" s="291">
        <f>E56*E58</f>
        <v>0</v>
      </c>
      <c r="F62" s="218"/>
      <c r="G62" s="218"/>
      <c r="H62" s="25"/>
      <c r="I62" s="25"/>
      <c r="J62" s="25"/>
      <c r="K62" s="25"/>
      <c r="L62" s="25"/>
      <c r="M62" s="25"/>
      <c r="N62" s="25"/>
      <c r="O62" s="25"/>
    </row>
    <row r="63" spans="1:15" ht="12.5">
      <c r="A63" s="219" t="s">
        <v>409</v>
      </c>
      <c r="B63" s="297">
        <f>B56*B59</f>
        <v>0.13755000000000003</v>
      </c>
      <c r="C63" s="297">
        <f>C56*C59</f>
        <v>8.1900000000000014E-2</v>
      </c>
      <c r="D63" s="297">
        <f>D56*D59</f>
        <v>0</v>
      </c>
      <c r="E63" s="297">
        <f>E56*E59</f>
        <v>0</v>
      </c>
      <c r="F63" s="221"/>
      <c r="G63" s="221"/>
      <c r="H63" s="25"/>
      <c r="I63" s="25"/>
      <c r="J63" s="25"/>
      <c r="K63" s="25"/>
      <c r="L63" s="25"/>
      <c r="M63" s="25"/>
      <c r="N63" s="25"/>
      <c r="O63" s="25"/>
    </row>
    <row r="64" spans="1:15" ht="12.5">
      <c r="A64" s="219" t="s">
        <v>410</v>
      </c>
      <c r="B64" s="297">
        <f>B56*B60</f>
        <v>0</v>
      </c>
      <c r="C64" s="297">
        <f>C56*C60</f>
        <v>1.3650000000000002E-2</v>
      </c>
      <c r="D64" s="297">
        <f>D56*D60</f>
        <v>0</v>
      </c>
      <c r="E64" s="297">
        <f>E56*E60</f>
        <v>0</v>
      </c>
      <c r="F64" s="221"/>
      <c r="G64" s="221"/>
      <c r="H64" s="25"/>
      <c r="I64" s="25"/>
      <c r="J64" s="25"/>
      <c r="K64" s="25"/>
      <c r="L64" s="25"/>
      <c r="M64" s="25"/>
      <c r="N64" s="25"/>
      <c r="O64" s="25"/>
    </row>
    <row r="65" spans="1:15" ht="12.5">
      <c r="A65" s="218" t="s">
        <v>372</v>
      </c>
      <c r="B65" s="291">
        <v>22.5</v>
      </c>
      <c r="C65" s="291">
        <v>22.5</v>
      </c>
      <c r="D65" s="291">
        <v>22.5</v>
      </c>
      <c r="E65" s="291">
        <v>22.5</v>
      </c>
      <c r="F65" s="250" t="s">
        <v>373</v>
      </c>
      <c r="G65" s="221"/>
      <c r="H65" s="25"/>
      <c r="I65" s="25"/>
      <c r="J65" s="25"/>
      <c r="K65" s="25"/>
      <c r="L65" s="25"/>
      <c r="M65" s="25"/>
      <c r="N65" s="25"/>
      <c r="O65" s="25"/>
    </row>
    <row r="66" spans="1:15" ht="12.5">
      <c r="A66" s="218" t="s">
        <v>377</v>
      </c>
      <c r="B66" s="291">
        <v>15.5</v>
      </c>
      <c r="C66" s="291">
        <v>15.5</v>
      </c>
      <c r="D66" s="291">
        <v>15.5</v>
      </c>
      <c r="E66" s="291">
        <v>15.5</v>
      </c>
      <c r="F66" s="250" t="s">
        <v>373</v>
      </c>
      <c r="G66" s="221"/>
      <c r="H66" s="25"/>
      <c r="I66" s="25"/>
      <c r="J66" s="25"/>
      <c r="K66" s="25"/>
      <c r="L66" s="25"/>
      <c r="M66" s="25"/>
      <c r="N66" s="25"/>
      <c r="O66" s="25"/>
    </row>
    <row r="67" spans="1:15" ht="12.5">
      <c r="A67" s="218" t="s">
        <v>411</v>
      </c>
      <c r="B67" s="291">
        <v>18</v>
      </c>
      <c r="C67" s="291">
        <v>18</v>
      </c>
      <c r="D67" s="291">
        <v>18</v>
      </c>
      <c r="E67" s="291">
        <v>18</v>
      </c>
      <c r="F67" s="250" t="s">
        <v>373</v>
      </c>
      <c r="G67" s="221"/>
      <c r="H67" s="25"/>
      <c r="I67" s="25"/>
      <c r="J67" s="25"/>
      <c r="K67" s="25"/>
      <c r="L67" s="25"/>
      <c r="M67" s="25"/>
      <c r="N67" s="25"/>
      <c r="O67" s="25"/>
    </row>
    <row r="68" spans="1:15" ht="12.5">
      <c r="A68" s="218" t="s">
        <v>412</v>
      </c>
      <c r="B68" s="291">
        <v>18</v>
      </c>
      <c r="C68" s="291">
        <v>18</v>
      </c>
      <c r="D68" s="291">
        <v>18</v>
      </c>
      <c r="E68" s="291">
        <v>18</v>
      </c>
      <c r="F68" s="250" t="s">
        <v>373</v>
      </c>
      <c r="G68" s="221"/>
      <c r="H68" s="25"/>
      <c r="I68" s="25"/>
      <c r="J68" s="25"/>
      <c r="K68" s="25"/>
      <c r="L68" s="25"/>
      <c r="M68" s="25"/>
      <c r="N68" s="25"/>
      <c r="O68" s="25"/>
    </row>
    <row r="69" spans="1:15" ht="12.5">
      <c r="A69" s="218" t="s">
        <v>375</v>
      </c>
      <c r="B69" s="291">
        <f>B62*B65</f>
        <v>0</v>
      </c>
      <c r="C69" s="291">
        <f>C62*C65</f>
        <v>0</v>
      </c>
      <c r="D69" s="291">
        <f>D62*D65</f>
        <v>14.175000000000002</v>
      </c>
      <c r="E69" s="291">
        <f>E62*E65</f>
        <v>0</v>
      </c>
      <c r="F69" s="250" t="s">
        <v>376</v>
      </c>
      <c r="G69" s="221"/>
      <c r="H69" s="25"/>
      <c r="I69" s="25"/>
      <c r="J69" s="25"/>
      <c r="K69" s="25"/>
      <c r="L69" s="25"/>
      <c r="M69" s="25"/>
      <c r="N69" s="25"/>
      <c r="O69" s="25"/>
    </row>
    <row r="70" spans="1:15" ht="12.5">
      <c r="A70" s="218" t="s">
        <v>378</v>
      </c>
      <c r="B70" s="291">
        <f>B61*B66</f>
        <v>8.528100000000002</v>
      </c>
      <c r="C70" s="291">
        <f>C61*C66</f>
        <v>9.0977250000000005</v>
      </c>
      <c r="D70" s="291">
        <f>D61*D66</f>
        <v>2.4412500000000006</v>
      </c>
      <c r="E70" s="291">
        <f>E61*E66</f>
        <v>1.9530000000000001</v>
      </c>
      <c r="F70" s="250" t="s">
        <v>376</v>
      </c>
      <c r="G70" s="221"/>
      <c r="H70" s="25"/>
      <c r="I70" s="25"/>
      <c r="J70" s="25"/>
      <c r="K70" s="25"/>
      <c r="L70" s="25"/>
      <c r="M70" s="25"/>
      <c r="N70" s="25"/>
      <c r="O70" s="25"/>
    </row>
    <row r="71" spans="1:15" ht="12.5">
      <c r="A71" s="218" t="s">
        <v>413</v>
      </c>
      <c r="B71" s="291">
        <f t="shared" ref="B71:E72" si="0">B63*B67</f>
        <v>2.4759000000000007</v>
      </c>
      <c r="C71" s="291">
        <f t="shared" si="0"/>
        <v>1.4742000000000002</v>
      </c>
      <c r="D71" s="291">
        <f t="shared" si="0"/>
        <v>0</v>
      </c>
      <c r="E71" s="291">
        <f t="shared" si="0"/>
        <v>0</v>
      </c>
      <c r="F71" s="218" t="s">
        <v>376</v>
      </c>
      <c r="G71" s="218"/>
      <c r="H71" s="25"/>
      <c r="I71" s="25"/>
      <c r="J71" s="25"/>
      <c r="K71" s="25"/>
      <c r="L71" s="25"/>
      <c r="M71" s="25"/>
      <c r="N71" s="25"/>
      <c r="O71" s="25"/>
    </row>
    <row r="72" spans="1:15" ht="12.5">
      <c r="A72" s="218" t="s">
        <v>414</v>
      </c>
      <c r="B72" s="291">
        <f t="shared" si="0"/>
        <v>0</v>
      </c>
      <c r="C72" s="291">
        <f t="shared" si="0"/>
        <v>0.24570000000000003</v>
      </c>
      <c r="D72" s="291">
        <f t="shared" si="0"/>
        <v>0</v>
      </c>
      <c r="E72" s="291">
        <f t="shared" si="0"/>
        <v>0</v>
      </c>
      <c r="F72" s="218" t="s">
        <v>376</v>
      </c>
      <c r="G72" s="218"/>
      <c r="H72" s="25"/>
      <c r="I72" s="25"/>
      <c r="J72" s="25"/>
      <c r="K72" s="25"/>
      <c r="L72" s="25"/>
      <c r="M72" s="25"/>
      <c r="N72" s="25"/>
      <c r="O72" s="25"/>
    </row>
    <row r="73" spans="1:15" ht="13">
      <c r="A73" s="215" t="s">
        <v>379</v>
      </c>
      <c r="B73" s="292">
        <f>B69+B70+B71+B72</f>
        <v>11.004000000000003</v>
      </c>
      <c r="C73" s="292">
        <f>C69+C70+C71+C72</f>
        <v>10.817625</v>
      </c>
      <c r="D73" s="292">
        <f>D69+D70+D71+D72</f>
        <v>16.616250000000004</v>
      </c>
      <c r="E73" s="292">
        <f>E69+E70+E71+E72</f>
        <v>1.9530000000000001</v>
      </c>
      <c r="F73" s="215" t="s">
        <v>376</v>
      </c>
      <c r="G73" s="218"/>
      <c r="H73" s="25"/>
      <c r="I73" s="25"/>
      <c r="J73" s="25"/>
      <c r="K73" s="25"/>
      <c r="L73" s="25"/>
      <c r="M73" s="25"/>
      <c r="N73" s="25"/>
      <c r="O73" s="25"/>
    </row>
    <row r="74" spans="1:15" ht="12.5">
      <c r="A74" s="218" t="s">
        <v>380</v>
      </c>
      <c r="B74" s="291">
        <v>2.38</v>
      </c>
      <c r="C74" s="291">
        <v>2.38</v>
      </c>
      <c r="D74" s="291">
        <v>2.38</v>
      </c>
      <c r="E74" s="291">
        <v>2.38</v>
      </c>
      <c r="F74" s="218" t="s">
        <v>381</v>
      </c>
      <c r="G74" s="218"/>
      <c r="H74" s="25"/>
      <c r="I74" s="25"/>
      <c r="J74" s="25"/>
      <c r="K74" s="25"/>
      <c r="L74" s="25"/>
      <c r="M74" s="25"/>
      <c r="N74" s="25"/>
      <c r="O74" s="25"/>
    </row>
    <row r="75" spans="1:15" ht="12.5">
      <c r="A75" s="218" t="s">
        <v>380</v>
      </c>
      <c r="B75" s="291">
        <f>B74*B54</f>
        <v>1.5589</v>
      </c>
      <c r="C75" s="291">
        <f>C74*C54</f>
        <v>1.5469999999999999</v>
      </c>
      <c r="D75" s="291">
        <f>D74*D54</f>
        <v>1.7849999999999999</v>
      </c>
      <c r="E75" s="291">
        <f>E74*E54</f>
        <v>0.28559999999999997</v>
      </c>
      <c r="F75" s="218"/>
      <c r="G75" s="218"/>
      <c r="H75" s="25"/>
      <c r="I75" s="25"/>
      <c r="J75" s="25"/>
      <c r="K75" s="25"/>
      <c r="L75" s="25"/>
      <c r="M75" s="25"/>
      <c r="N75" s="25"/>
      <c r="O75" s="25"/>
    </row>
    <row r="76" spans="1:15" ht="12.5">
      <c r="A76" s="218" t="s">
        <v>384</v>
      </c>
      <c r="B76" s="286">
        <v>141</v>
      </c>
      <c r="C76" s="286">
        <v>141</v>
      </c>
      <c r="D76" s="286">
        <v>141</v>
      </c>
      <c r="E76" s="286">
        <v>141</v>
      </c>
      <c r="F76" s="279" t="s">
        <v>385</v>
      </c>
      <c r="G76" s="218"/>
      <c r="H76" s="25"/>
      <c r="I76" s="25"/>
      <c r="J76" s="25"/>
      <c r="K76" s="25"/>
      <c r="L76" s="25"/>
      <c r="M76" s="25"/>
      <c r="N76" s="25"/>
      <c r="O76" s="25"/>
    </row>
    <row r="77" spans="1:15" ht="12.5">
      <c r="A77" s="218" t="s">
        <v>363</v>
      </c>
      <c r="B77" s="291">
        <f>B75*B76</f>
        <v>219.8049</v>
      </c>
      <c r="C77" s="291">
        <f>C75*C76</f>
        <v>218.12699999999998</v>
      </c>
      <c r="D77" s="291">
        <f>D75*D76</f>
        <v>251.685</v>
      </c>
      <c r="E77" s="291">
        <f>E75*E76</f>
        <v>40.269599999999997</v>
      </c>
      <c r="F77" s="293" t="s">
        <v>386</v>
      </c>
      <c r="G77" s="218"/>
      <c r="H77" s="25"/>
      <c r="I77" s="25"/>
      <c r="J77" s="25"/>
      <c r="K77" s="25"/>
      <c r="L77" s="25"/>
      <c r="M77" s="25"/>
      <c r="N77" s="25"/>
      <c r="O77" s="25"/>
    </row>
    <row r="78" spans="1:15" ht="13">
      <c r="A78" s="215" t="s">
        <v>387</v>
      </c>
      <c r="B78" s="291">
        <f>B77/1000</f>
        <v>0.2198049</v>
      </c>
      <c r="C78" s="291">
        <f>C77/1000</f>
        <v>0.21812699999999999</v>
      </c>
      <c r="D78" s="291">
        <f>D77/1000</f>
        <v>0.25168499999999999</v>
      </c>
      <c r="E78" s="291">
        <f>E77/1000</f>
        <v>4.0269599999999996E-2</v>
      </c>
      <c r="F78" s="293" t="s">
        <v>376</v>
      </c>
      <c r="G78" s="218"/>
      <c r="H78" s="25"/>
      <c r="I78" s="25"/>
      <c r="J78" s="25"/>
      <c r="K78" s="25"/>
      <c r="L78" s="25"/>
      <c r="M78" s="25"/>
      <c r="N78" s="25"/>
      <c r="O78" s="25"/>
    </row>
    <row r="79" spans="1:15" ht="13">
      <c r="A79" s="215" t="s">
        <v>388</v>
      </c>
      <c r="B79" s="292">
        <f>B73+B78</f>
        <v>11.223804900000003</v>
      </c>
      <c r="C79" s="292">
        <f>C73+C78</f>
        <v>11.035752</v>
      </c>
      <c r="D79" s="292">
        <f>D73+D78</f>
        <v>16.867935000000003</v>
      </c>
      <c r="E79" s="292">
        <f>E73+E78</f>
        <v>1.9932696000000001</v>
      </c>
      <c r="F79" s="293" t="s">
        <v>376</v>
      </c>
      <c r="G79" s="218"/>
      <c r="H79" s="25"/>
      <c r="I79" s="25"/>
      <c r="J79" s="25"/>
      <c r="K79" s="25"/>
      <c r="L79" s="25"/>
      <c r="M79" s="25"/>
      <c r="N79" s="25"/>
      <c r="O79" s="25"/>
    </row>
    <row r="80" spans="1:15" ht="12.5">
      <c r="A80" s="218" t="s">
        <v>389</v>
      </c>
      <c r="B80" s="227">
        <v>2</v>
      </c>
      <c r="C80" s="227">
        <v>2</v>
      </c>
      <c r="D80" s="227">
        <v>2</v>
      </c>
      <c r="E80" s="227">
        <v>2</v>
      </c>
      <c r="F80" s="218" t="s">
        <v>390</v>
      </c>
      <c r="G80" s="218"/>
      <c r="H80" s="25"/>
      <c r="I80" s="25"/>
      <c r="J80" s="25"/>
      <c r="K80" s="25"/>
      <c r="L80" s="25"/>
      <c r="M80" s="25"/>
      <c r="N80" s="25"/>
      <c r="O80" s="25"/>
    </row>
    <row r="81" spans="1:15" ht="12.5">
      <c r="A81" s="218" t="s">
        <v>391</v>
      </c>
      <c r="B81" s="222">
        <f>B79/B80</f>
        <v>5.6119024500000014</v>
      </c>
      <c r="C81" s="222">
        <f>C79/C80</f>
        <v>5.5178760000000002</v>
      </c>
      <c r="D81" s="222">
        <f>D79/D80</f>
        <v>8.4339675000000014</v>
      </c>
      <c r="E81" s="222">
        <f>E79/E80</f>
        <v>0.99663480000000004</v>
      </c>
      <c r="F81" s="293" t="s">
        <v>376</v>
      </c>
      <c r="G81" s="218"/>
      <c r="H81" s="25"/>
      <c r="I81" s="25"/>
      <c r="J81" s="25"/>
      <c r="K81" s="25"/>
      <c r="L81" s="25"/>
      <c r="M81" s="25"/>
      <c r="N81" s="25"/>
      <c r="O81" s="25"/>
    </row>
    <row r="82" spans="1:15" ht="12.5">
      <c r="A82" s="25"/>
      <c r="B82" s="25"/>
      <c r="C82" s="25"/>
      <c r="D82" s="25"/>
      <c r="E82" s="25"/>
      <c r="F82" s="25"/>
      <c r="G82" s="25"/>
      <c r="H82" s="25"/>
      <c r="I82" s="25"/>
      <c r="J82" s="25"/>
      <c r="K82" s="25"/>
      <c r="L82" s="25"/>
      <c r="M82" s="25"/>
      <c r="N82" s="25"/>
      <c r="O82" s="25"/>
    </row>
    <row r="83" spans="1:15" ht="12.5">
      <c r="A83" s="25"/>
      <c r="B83" s="25"/>
      <c r="C83" s="25"/>
      <c r="D83" s="25"/>
      <c r="E83" s="25"/>
      <c r="F83" s="25"/>
      <c r="G83" s="25"/>
      <c r="H83" s="25"/>
      <c r="I83" s="25"/>
      <c r="J83" s="25"/>
      <c r="K83" s="25"/>
      <c r="L83" s="25"/>
      <c r="M83" s="25"/>
      <c r="N83" s="25"/>
      <c r="O83" s="25"/>
    </row>
    <row r="84" spans="1:15" ht="12.5">
      <c r="A84" s="25"/>
      <c r="B84" s="25"/>
      <c r="C84" s="25"/>
      <c r="D84" s="25"/>
      <c r="E84" s="25"/>
      <c r="F84" s="25"/>
      <c r="G84" s="25"/>
      <c r="H84" s="25"/>
      <c r="I84" s="25"/>
      <c r="J84" s="25"/>
      <c r="K84" s="25"/>
      <c r="L84" s="25"/>
      <c r="M84" s="25"/>
      <c r="N84" s="25"/>
      <c r="O84" s="25"/>
    </row>
    <row r="85" spans="1:15" ht="12.5">
      <c r="A85" s="25"/>
      <c r="B85" s="25"/>
      <c r="C85" s="25"/>
      <c r="D85" s="25"/>
      <c r="E85" s="25"/>
      <c r="F85" s="25"/>
      <c r="G85" s="25"/>
      <c r="H85" s="25"/>
      <c r="I85" s="25"/>
      <c r="J85" s="25"/>
      <c r="K85" s="25"/>
      <c r="L85" s="25"/>
      <c r="M85" s="25"/>
      <c r="N85" s="25"/>
      <c r="O85" s="25"/>
    </row>
    <row r="86" spans="1:15" ht="12.5">
      <c r="A86" s="25"/>
      <c r="B86" s="25"/>
      <c r="C86" s="25"/>
      <c r="D86" s="25"/>
      <c r="E86" s="25"/>
      <c r="F86" s="25"/>
      <c r="G86" s="25"/>
      <c r="H86" s="25"/>
      <c r="I86" s="25"/>
      <c r="J86" s="25"/>
      <c r="K86" s="25"/>
      <c r="L86" s="25"/>
      <c r="M86" s="25"/>
      <c r="N86" s="25"/>
      <c r="O86" s="25"/>
    </row>
    <row r="87" spans="1:15" ht="12.5">
      <c r="A87" s="25"/>
      <c r="B87" s="25"/>
      <c r="C87" s="25"/>
      <c r="D87" s="25"/>
      <c r="E87" s="25"/>
      <c r="F87" s="25"/>
      <c r="G87" s="25"/>
      <c r="H87" s="25"/>
      <c r="I87" s="25"/>
      <c r="J87" s="25"/>
      <c r="K87" s="25"/>
      <c r="L87" s="25"/>
      <c r="M87" s="25"/>
      <c r="N87" s="25"/>
      <c r="O87" s="25"/>
    </row>
    <row r="88" spans="1:15" ht="12.5">
      <c r="A88" s="25"/>
      <c r="B88" s="25"/>
      <c r="C88" s="25"/>
      <c r="D88" s="25"/>
      <c r="E88" s="25"/>
      <c r="F88" s="25"/>
      <c r="G88" s="25"/>
      <c r="H88" s="25"/>
      <c r="I88" s="25"/>
      <c r="J88" s="25"/>
      <c r="K88" s="25"/>
      <c r="L88" s="25"/>
      <c r="M88" s="25"/>
      <c r="N88" s="25"/>
      <c r="O88" s="25"/>
    </row>
    <row r="89" spans="1:15" ht="12.5">
      <c r="A89" s="25"/>
      <c r="B89" s="25"/>
      <c r="C89" s="25"/>
      <c r="D89" s="25"/>
      <c r="E89" s="25"/>
      <c r="F89" s="25"/>
      <c r="G89" s="25"/>
      <c r="H89" s="25"/>
      <c r="I89" s="25"/>
      <c r="J89" s="25"/>
      <c r="K89" s="25"/>
      <c r="L89" s="25"/>
      <c r="M89" s="25"/>
      <c r="N89" s="25"/>
      <c r="O89" s="25"/>
    </row>
    <row r="90" spans="1:15" ht="12.5">
      <c r="A90" s="25"/>
      <c r="B90" s="25"/>
      <c r="C90" s="25"/>
      <c r="D90" s="25"/>
      <c r="E90" s="25"/>
      <c r="F90" s="25"/>
      <c r="G90" s="25"/>
      <c r="H90" s="25"/>
      <c r="I90" s="25"/>
      <c r="J90" s="25"/>
      <c r="K90" s="25"/>
      <c r="L90" s="25"/>
      <c r="M90" s="25"/>
      <c r="N90" s="25"/>
      <c r="O90" s="25"/>
    </row>
    <row r="91" spans="1:15" ht="12.5">
      <c r="A91" s="25"/>
      <c r="B91" s="25"/>
      <c r="C91" s="25"/>
      <c r="D91" s="25"/>
      <c r="E91" s="25"/>
      <c r="F91" s="25"/>
      <c r="G91" s="25"/>
      <c r="H91" s="25"/>
      <c r="I91" s="25"/>
      <c r="J91" s="25"/>
      <c r="K91" s="25"/>
      <c r="L91" s="25"/>
      <c r="M91" s="25"/>
      <c r="N91" s="25"/>
      <c r="O91" s="25"/>
    </row>
    <row r="92" spans="1:15" ht="12.5">
      <c r="A92" s="25"/>
      <c r="B92" s="25"/>
      <c r="C92" s="25"/>
      <c r="D92" s="25"/>
      <c r="E92" s="25"/>
      <c r="F92" s="25"/>
      <c r="G92" s="25"/>
      <c r="H92" s="25"/>
      <c r="I92" s="25"/>
      <c r="J92" s="25"/>
      <c r="K92" s="25"/>
      <c r="L92" s="25"/>
      <c r="M92" s="25"/>
      <c r="N92" s="25"/>
      <c r="O92" s="25"/>
    </row>
    <row r="93" spans="1:15" ht="12.5">
      <c r="A93" s="25"/>
      <c r="B93" s="25"/>
      <c r="C93" s="25"/>
      <c r="D93" s="25"/>
      <c r="E93" s="25"/>
      <c r="F93" s="25"/>
      <c r="G93" s="25"/>
      <c r="H93" s="25"/>
      <c r="I93" s="25"/>
      <c r="J93" s="25"/>
      <c r="K93" s="25"/>
      <c r="L93" s="25"/>
      <c r="M93" s="25"/>
      <c r="N93" s="25"/>
      <c r="O93" s="25"/>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H1014"/>
  <sheetViews>
    <sheetView showGridLines="0" zoomScale="69" workbookViewId="0">
      <selection activeCell="E23" sqref="E23"/>
    </sheetView>
  </sheetViews>
  <sheetFormatPr defaultColWidth="14.453125" defaultRowHeight="15.75" customHeight="1"/>
  <cols>
    <col min="1" max="1" width="46.08984375" customWidth="1"/>
    <col min="2" max="2" width="29.54296875" customWidth="1"/>
    <col min="3" max="3" width="28.453125" customWidth="1"/>
    <col min="4" max="4" width="34.453125" customWidth="1"/>
    <col min="5" max="5" width="16.90625" customWidth="1"/>
    <col min="6" max="6" width="18.54296875" customWidth="1"/>
  </cols>
  <sheetData>
    <row r="1" spans="1:7" ht="13">
      <c r="A1" s="318" t="s">
        <v>15</v>
      </c>
      <c r="B1" s="319"/>
      <c r="C1" s="319"/>
      <c r="D1" s="320"/>
      <c r="E1" s="3"/>
    </row>
    <row r="2" spans="1:7" ht="13">
      <c r="A2" s="321"/>
      <c r="B2" s="302"/>
      <c r="C2" s="302"/>
      <c r="D2" s="322"/>
      <c r="E2" s="3"/>
    </row>
    <row r="3" spans="1:7" ht="13">
      <c r="A3" s="323"/>
      <c r="B3" s="324"/>
      <c r="C3" s="324"/>
      <c r="D3" s="325"/>
      <c r="E3" s="3"/>
    </row>
    <row r="4" spans="1:7" ht="13">
      <c r="A4" s="3"/>
      <c r="B4" s="3"/>
      <c r="C4" s="3"/>
      <c r="D4" s="3"/>
      <c r="E4" s="3"/>
    </row>
    <row r="5" spans="1:7" ht="13">
      <c r="A5" s="213" t="s">
        <v>16</v>
      </c>
      <c r="B5" s="213" t="s">
        <v>17</v>
      </c>
      <c r="C5" s="214" t="s">
        <v>18</v>
      </c>
      <c r="D5" s="3"/>
      <c r="E5" s="3"/>
    </row>
    <row r="6" spans="1:7" ht="13">
      <c r="A6" s="215" t="str">
        <f>Lähtötiedot!B3</f>
        <v>Toimija 1</v>
      </c>
      <c r="B6" s="216">
        <f>(SUM('Yhteenveto raportointiin'!B7:F8))</f>
        <v>1.7600000000000002</v>
      </c>
      <c r="C6" s="216">
        <f ca="1">(SUM('Yhteenveto raportointiin'!B12:F13))</f>
        <v>4.4399999999999995</v>
      </c>
      <c r="D6" s="6"/>
      <c r="E6" s="6"/>
    </row>
    <row r="7" spans="1:7" ht="13">
      <c r="A7" s="215" t="str">
        <f>Lähtötiedot!B5</f>
        <v>Toimija 2</v>
      </c>
      <c r="B7" s="216">
        <f ca="1">(SUM('Yhteenveto raportointiin'!B16:K20))</f>
        <v>80.494517421999944</v>
      </c>
      <c r="C7" s="216">
        <f ca="1">(SUM('Yhteenveto raportointiin'!B23:F27))</f>
        <v>162.22</v>
      </c>
      <c r="D7" s="6"/>
      <c r="E7" s="6"/>
      <c r="G7" s="7"/>
    </row>
    <row r="8" spans="1:7" ht="13">
      <c r="A8" s="215" t="str">
        <f>Lähtötiedot!B10</f>
        <v>Toimija 3</v>
      </c>
      <c r="B8" s="216">
        <f>SUM('Yhteenveto raportointiin'!B30:C33)</f>
        <v>13.12</v>
      </c>
      <c r="C8" s="216">
        <f ca="1">(SUM('Yhteenveto raportointiin'!B36:F39))</f>
        <v>29.48</v>
      </c>
      <c r="D8" s="6"/>
      <c r="E8" s="6"/>
    </row>
    <row r="9" spans="1:7" ht="13">
      <c r="A9" s="215"/>
      <c r="B9" s="217"/>
      <c r="C9" s="217"/>
      <c r="D9" s="8"/>
      <c r="E9" s="6"/>
    </row>
    <row r="10" spans="1:7" ht="13">
      <c r="A10" s="215" t="str">
        <f>Lähtötiedot!B3</f>
        <v>Toimija 1</v>
      </c>
      <c r="B10" s="213" t="s">
        <v>17</v>
      </c>
      <c r="C10" s="214" t="s">
        <v>18</v>
      </c>
      <c r="D10" s="3"/>
    </row>
    <row r="11" spans="1:7" ht="13">
      <c r="A11" s="218" t="s">
        <v>19</v>
      </c>
      <c r="B11" s="216">
        <v>0</v>
      </c>
      <c r="C11" s="216">
        <f>'Yhteenveto raportointiin'!E12+'Yhteenveto raportointiin'!F12+'Yhteenveto raportointiin'!E13+'Yhteenveto raportointiin'!F13</f>
        <v>0</v>
      </c>
      <c r="D11" s="6"/>
      <c r="E11" s="3"/>
    </row>
    <row r="12" spans="1:7" ht="12.5">
      <c r="A12" s="218" t="s">
        <v>20</v>
      </c>
      <c r="B12" s="216">
        <f>'Yhteenveto raportointiin'!B7+'Yhteenveto raportointiin'!B8+'Yhteenveto raportointiin'!E7+'Yhteenveto raportointiin'!E8</f>
        <v>0.26</v>
      </c>
      <c r="C12" s="216">
        <v>0</v>
      </c>
      <c r="D12" s="10"/>
    </row>
    <row r="13" spans="1:7" ht="12.5">
      <c r="A13" s="218" t="s">
        <v>21</v>
      </c>
      <c r="B13" s="216">
        <f>'Yhteenveto raportointiin'!C7+'Yhteenveto raportointiin'!D7+'Yhteenveto raportointiin'!F7+'Yhteenveto raportointiin'!C8+'Yhteenveto raportointiin'!D8+'Yhteenveto raportointiin'!F8</f>
        <v>1.5</v>
      </c>
      <c r="C13" s="216">
        <v>0</v>
      </c>
      <c r="D13" s="10"/>
    </row>
    <row r="14" spans="1:7" ht="12.5">
      <c r="A14" s="218" t="s">
        <v>22</v>
      </c>
      <c r="B14" s="216">
        <v>0</v>
      </c>
      <c r="C14" s="216">
        <f ca="1">'Yhteenveto raportointiin'!B12+'Yhteenveto raportointiin'!B13</f>
        <v>0.62</v>
      </c>
      <c r="D14" s="6"/>
    </row>
    <row r="15" spans="1:7" ht="14">
      <c r="A15" s="219" t="s">
        <v>23</v>
      </c>
      <c r="B15" s="216">
        <v>0</v>
      </c>
      <c r="C15" s="220">
        <f ca="1">'Yhteenveto raportointiin'!C12+'Yhteenveto raportointiin'!D12+'Yhteenveto raportointiin'!C13+'Yhteenveto raportointiin'!D13</f>
        <v>3.82</v>
      </c>
      <c r="D15" s="11"/>
      <c r="E15" s="12"/>
    </row>
    <row r="16" spans="1:7" ht="15" customHeight="1">
      <c r="A16" s="221"/>
      <c r="B16" s="221"/>
      <c r="C16" s="221"/>
    </row>
    <row r="17" spans="1:8" ht="15" customHeight="1">
      <c r="A17" s="215" t="str">
        <f>Lähtötiedot!B5</f>
        <v>Toimija 2</v>
      </c>
      <c r="B17" s="213" t="s">
        <v>17</v>
      </c>
      <c r="C17" s="214" t="s">
        <v>18</v>
      </c>
      <c r="D17" s="3"/>
      <c r="F17" s="3"/>
      <c r="G17" s="3"/>
      <c r="H17" s="3"/>
    </row>
    <row r="18" spans="1:8" ht="12.5">
      <c r="A18" s="218" t="s">
        <v>19</v>
      </c>
      <c r="B18" s="216">
        <f>SUM('Yhteenveto raportointiin'!J16:K20)</f>
        <v>0.02</v>
      </c>
      <c r="C18" s="216">
        <f>SUM('Yhteenveto raportointiin'!E23:F27)</f>
        <v>0.09</v>
      </c>
      <c r="D18" s="13"/>
    </row>
    <row r="19" spans="1:8" ht="12.5">
      <c r="A19" s="218" t="s">
        <v>20</v>
      </c>
      <c r="B19" s="216">
        <f>SUM('Yhteenveto raportointiin'!B16:B20,'Yhteenveto raportointiin'!E16:E20)</f>
        <v>7.6845174219999999</v>
      </c>
      <c r="C19" s="216">
        <v>0</v>
      </c>
      <c r="D19" s="13"/>
    </row>
    <row r="20" spans="1:8" ht="12.5">
      <c r="A20" s="218" t="s">
        <v>21</v>
      </c>
      <c r="B20" s="216">
        <f>SUM('Yhteenveto raportointiin'!C16:C20,'Yhteenveto raportointiin'!D16:D20,'Yhteenveto raportointiin'!F16:F20)</f>
        <v>40.35</v>
      </c>
      <c r="C20" s="216">
        <v>0</v>
      </c>
      <c r="D20" s="13"/>
    </row>
    <row r="21" spans="1:8" ht="12.5">
      <c r="A21" s="218" t="s">
        <v>22</v>
      </c>
      <c r="B21" s="216">
        <f ca="1">SUM('Yhteenveto raportointiin'!G16:G20)</f>
        <v>4.55</v>
      </c>
      <c r="C21" s="216">
        <f ca="1">SUM('Yhteenveto raportointiin'!B23:B27)</f>
        <v>22.73</v>
      </c>
      <c r="D21" s="13"/>
    </row>
    <row r="22" spans="1:8" ht="12.5">
      <c r="A22" s="219" t="s">
        <v>23</v>
      </c>
      <c r="B22" s="216">
        <f ca="1">SUM('Yhteenveto raportointiin'!H16:I20)</f>
        <v>27.89</v>
      </c>
      <c r="C22" s="216">
        <f ca="1">SUM('Yhteenveto raportointiin'!C23:D27)</f>
        <v>139.4</v>
      </c>
      <c r="D22" s="13"/>
    </row>
    <row r="23" spans="1:8" ht="12.5">
      <c r="A23" s="221"/>
      <c r="B23" s="222"/>
      <c r="C23" s="222"/>
      <c r="D23" s="13"/>
    </row>
    <row r="24" spans="1:8" ht="13">
      <c r="A24" s="215" t="str">
        <f>Lähtötiedot!B10</f>
        <v>Toimija 3</v>
      </c>
      <c r="B24" s="213" t="s">
        <v>17</v>
      </c>
      <c r="C24" s="214" t="s">
        <v>18</v>
      </c>
      <c r="D24" s="13"/>
    </row>
    <row r="25" spans="1:8" ht="12.5">
      <c r="A25" s="218" t="s">
        <v>19</v>
      </c>
      <c r="B25" s="216">
        <v>0</v>
      </c>
      <c r="C25" s="216">
        <f>SUM('Yhteenveto raportointiin'!E36:F39)</f>
        <v>0</v>
      </c>
      <c r="D25" s="13"/>
    </row>
    <row r="26" spans="1:8" ht="12.5">
      <c r="A26" s="218" t="s">
        <v>20</v>
      </c>
      <c r="B26" s="216">
        <f>SUM('Yhteenveto raportointiin'!B30:B33)</f>
        <v>1.76</v>
      </c>
      <c r="C26" s="216">
        <v>0</v>
      </c>
      <c r="D26" s="13"/>
    </row>
    <row r="27" spans="1:8" ht="12.5">
      <c r="A27" s="218" t="s">
        <v>21</v>
      </c>
      <c r="B27" s="216">
        <f>SUM('Yhteenveto raportointiin'!C30:C33)</f>
        <v>11.36</v>
      </c>
      <c r="C27" s="216">
        <v>0</v>
      </c>
      <c r="D27" s="13"/>
    </row>
    <row r="28" spans="1:8" ht="12.5">
      <c r="A28" s="218" t="s">
        <v>22</v>
      </c>
      <c r="B28" s="216">
        <v>0</v>
      </c>
      <c r="C28" s="216">
        <f ca="1">SUM('Yhteenveto raportointiin'!B36:B39)</f>
        <v>4.12</v>
      </c>
      <c r="D28" s="13"/>
    </row>
    <row r="29" spans="1:8" ht="12.5">
      <c r="A29" s="219" t="s">
        <v>23</v>
      </c>
      <c r="B29" s="216">
        <v>0</v>
      </c>
      <c r="C29" s="216">
        <f ca="1">SUM('Yhteenveto raportointiin'!C36:D39)</f>
        <v>25.36</v>
      </c>
      <c r="D29" s="13"/>
    </row>
    <row r="30" spans="1:8" ht="13">
      <c r="A30" s="215"/>
      <c r="B30" s="222"/>
      <c r="C30" s="222"/>
      <c r="D30" s="13"/>
    </row>
    <row r="31" spans="1:8" ht="13">
      <c r="A31" s="213" t="s">
        <v>16</v>
      </c>
      <c r="B31" s="213" t="s">
        <v>24</v>
      </c>
      <c r="C31" s="214" t="s">
        <v>25</v>
      </c>
      <c r="D31" s="3"/>
    </row>
    <row r="32" spans="1:8" ht="13">
      <c r="A32" s="215" t="str">
        <f>Lähtötiedot!B3</f>
        <v>Toimija 1</v>
      </c>
      <c r="B32" s="223">
        <f>MROUND('Hiilijalanjälki ja veden kulutu'!S17+'Hiilijalanjälki ja veden kulutu'!S26,10)</f>
        <v>110</v>
      </c>
      <c r="C32" s="223">
        <f>MROUND('Hiilijalanjälki ja veden kulutu'!S34+'Hiilijalanjälki ja veden kulutu'!S41,10)</f>
        <v>90</v>
      </c>
      <c r="D32" s="8"/>
    </row>
    <row r="33" spans="1:4" ht="13">
      <c r="A33" s="215" t="str">
        <f>Lähtötiedot!B5</f>
        <v>Toimija 2</v>
      </c>
      <c r="B33" s="223">
        <f>MROUND('Hiilijalanjälki ja veden kulutu'!S50+'Hiilijalanjälki ja veden kulutu'!S59+'Hiilijalanjälki ja veden kulutu'!S68+'Hiilijalanjälki ja veden kulutu'!S77+'Hiilijalanjälki ja veden kulutu'!S86,10)</f>
        <v>3980</v>
      </c>
      <c r="C33" s="223">
        <f>MROUND('Hiilijalanjälki ja veden kulutu'!S93+'Hiilijalanjälki ja veden kulutu'!S100+'Hiilijalanjälki ja veden kulutu'!S107+'Hiilijalanjälki ja veden kulutu'!S114+'Hiilijalanjälki ja veden kulutu'!S121,10)</f>
        <v>3420</v>
      </c>
      <c r="D33" s="13"/>
    </row>
    <row r="34" spans="1:4" ht="13">
      <c r="A34" s="215" t="str">
        <f>Lähtötiedot!B10</f>
        <v>Toimija 3</v>
      </c>
      <c r="B34" s="223">
        <f>MROUND('Hiilijalanjälki ja veden kulutu'!S128+'Hiilijalanjälki ja veden kulutu'!S135+'Hiilijalanjälki ja veden kulutu'!S142+'Hiilijalanjälki ja veden kulutu'!S149,10)</f>
        <v>750</v>
      </c>
      <c r="C34" s="224">
        <f>MROUND('Hiilijalanjälki ja veden kulutu'!S156+'Hiilijalanjälki ja veden kulutu'!S163+'Hiilijalanjälki ja veden kulutu'!S170+'Hiilijalanjälki ja veden kulutu'!S177,10)</f>
        <v>620</v>
      </c>
      <c r="D34" s="13"/>
    </row>
    <row r="35" spans="1:4" ht="13">
      <c r="A35" s="14"/>
      <c r="B35" s="13"/>
      <c r="C35" s="13"/>
      <c r="D35" s="13"/>
    </row>
    <row r="36" spans="1:4" ht="13">
      <c r="A36" s="14"/>
      <c r="B36" s="13"/>
      <c r="C36" s="13"/>
      <c r="D36" s="13"/>
    </row>
    <row r="37" spans="1:4" ht="13">
      <c r="A37" s="14"/>
      <c r="B37" s="13"/>
      <c r="C37" s="13"/>
      <c r="D37" s="13"/>
    </row>
    <row r="38" spans="1:4" ht="13">
      <c r="A38" s="14"/>
      <c r="B38" s="13"/>
      <c r="C38" s="13"/>
      <c r="D38" s="13"/>
    </row>
    <row r="39" spans="1:4" ht="13">
      <c r="A39" s="14"/>
      <c r="B39" s="13"/>
      <c r="C39" s="13"/>
      <c r="D39" s="13"/>
    </row>
    <row r="40" spans="1:4" ht="13">
      <c r="A40" s="14"/>
      <c r="B40" s="13"/>
      <c r="C40" s="13"/>
      <c r="D40" s="13"/>
    </row>
    <row r="41" spans="1:4" ht="13">
      <c r="A41" s="14"/>
      <c r="B41" s="13"/>
      <c r="C41" s="13"/>
      <c r="D41" s="13"/>
    </row>
    <row r="42" spans="1:4" ht="13">
      <c r="A42" s="14"/>
      <c r="B42" s="13"/>
      <c r="C42" s="13"/>
      <c r="D42" s="13"/>
    </row>
    <row r="43" spans="1:4" ht="13">
      <c r="A43" s="14"/>
      <c r="B43" s="13"/>
      <c r="C43" s="13"/>
      <c r="D43" s="13"/>
    </row>
    <row r="44" spans="1:4" ht="13">
      <c r="A44" s="14"/>
      <c r="B44" s="13"/>
      <c r="C44" s="13"/>
      <c r="D44" s="13"/>
    </row>
    <row r="45" spans="1:4" ht="13">
      <c r="A45" s="14"/>
      <c r="B45" s="13"/>
      <c r="C45" s="13"/>
      <c r="D45" s="13"/>
    </row>
    <row r="46" spans="1:4" ht="13">
      <c r="A46" s="14"/>
      <c r="B46" s="13"/>
      <c r="C46" s="13"/>
      <c r="D46" s="13"/>
    </row>
    <row r="47" spans="1:4" ht="13">
      <c r="A47" s="14"/>
      <c r="B47" s="13"/>
      <c r="C47" s="13"/>
      <c r="D47" s="13"/>
    </row>
    <row r="48" spans="1:4" ht="13">
      <c r="A48" s="14"/>
      <c r="B48" s="13"/>
      <c r="C48" s="13"/>
      <c r="D48" s="13"/>
    </row>
    <row r="49" spans="1:4" ht="13">
      <c r="A49" s="14"/>
      <c r="B49" s="13"/>
      <c r="C49" s="13"/>
      <c r="D49" s="13"/>
    </row>
    <row r="50" spans="1:4" ht="13">
      <c r="A50" s="14"/>
      <c r="B50" s="13"/>
      <c r="C50" s="13"/>
      <c r="D50" s="13"/>
    </row>
    <row r="51" spans="1:4" ht="13">
      <c r="A51" s="14"/>
      <c r="B51" s="13"/>
      <c r="C51" s="13"/>
      <c r="D51" s="13"/>
    </row>
    <row r="52" spans="1:4" ht="13">
      <c r="A52" s="14"/>
      <c r="B52" s="13"/>
      <c r="C52" s="13"/>
      <c r="D52" s="13"/>
    </row>
    <row r="53" spans="1:4" ht="13">
      <c r="A53" s="14"/>
      <c r="B53" s="13"/>
      <c r="C53" s="13"/>
      <c r="D53" s="13"/>
    </row>
    <row r="54" spans="1:4" ht="13">
      <c r="A54" s="14"/>
      <c r="B54" s="13"/>
      <c r="C54" s="13"/>
      <c r="D54" s="13"/>
    </row>
    <row r="55" spans="1:4" ht="13">
      <c r="A55" s="14"/>
      <c r="B55" s="13"/>
      <c r="C55" s="13"/>
      <c r="D55" s="13"/>
    </row>
    <row r="56" spans="1:4" ht="13">
      <c r="A56" s="14"/>
      <c r="B56" s="13"/>
      <c r="C56" s="13"/>
      <c r="D56" s="13"/>
    </row>
    <row r="57" spans="1:4" ht="13">
      <c r="A57" s="14"/>
      <c r="B57" s="13"/>
      <c r="C57" s="13"/>
      <c r="D57" s="13"/>
    </row>
    <row r="58" spans="1:4" ht="13">
      <c r="A58" s="14"/>
      <c r="B58" s="13"/>
      <c r="C58" s="13"/>
      <c r="D58" s="13"/>
    </row>
    <row r="59" spans="1:4" ht="13">
      <c r="A59" s="14"/>
      <c r="B59" s="13"/>
      <c r="C59" s="13"/>
      <c r="D59" s="13"/>
    </row>
    <row r="60" spans="1:4" ht="13">
      <c r="A60" s="14"/>
      <c r="B60" s="13"/>
      <c r="C60" s="13"/>
      <c r="D60" s="13"/>
    </row>
    <row r="61" spans="1:4" ht="13">
      <c r="A61" s="14"/>
      <c r="B61" s="13"/>
      <c r="C61" s="13"/>
      <c r="D61" s="13"/>
    </row>
    <row r="62" spans="1:4" ht="13">
      <c r="A62" s="14"/>
      <c r="B62" s="13"/>
      <c r="C62" s="13"/>
      <c r="D62" s="13"/>
    </row>
    <row r="63" spans="1:4" ht="13">
      <c r="A63" s="14"/>
      <c r="B63" s="13"/>
      <c r="C63" s="13"/>
      <c r="D63" s="13"/>
    </row>
    <row r="64" spans="1:4" ht="13">
      <c r="A64" s="14"/>
      <c r="B64" s="13"/>
      <c r="C64" s="13"/>
      <c r="D64" s="13"/>
    </row>
    <row r="65" spans="1:4" ht="13">
      <c r="A65" s="14"/>
      <c r="B65" s="13"/>
      <c r="C65" s="13"/>
      <c r="D65" s="13"/>
    </row>
    <row r="66" spans="1:4" ht="13">
      <c r="A66" s="14"/>
      <c r="B66" s="13"/>
      <c r="C66" s="13"/>
      <c r="D66" s="13"/>
    </row>
    <row r="67" spans="1:4" ht="13">
      <c r="A67" s="14"/>
      <c r="B67" s="13"/>
      <c r="C67" s="13"/>
      <c r="D67" s="13"/>
    </row>
    <row r="68" spans="1:4" ht="13">
      <c r="A68" s="14"/>
      <c r="B68" s="13"/>
      <c r="C68" s="13"/>
      <c r="D68" s="13"/>
    </row>
    <row r="69" spans="1:4" ht="13">
      <c r="A69" s="14"/>
      <c r="B69" s="13"/>
      <c r="C69" s="13"/>
      <c r="D69" s="13"/>
    </row>
    <row r="70" spans="1:4" ht="13">
      <c r="A70" s="14"/>
      <c r="B70" s="13"/>
      <c r="C70" s="13"/>
      <c r="D70" s="13"/>
    </row>
    <row r="71" spans="1:4" ht="13">
      <c r="A71" s="14"/>
      <c r="B71" s="13"/>
      <c r="C71" s="13"/>
      <c r="D71" s="13"/>
    </row>
    <row r="72" spans="1:4" ht="13">
      <c r="A72" s="14"/>
      <c r="B72" s="13"/>
      <c r="C72" s="13"/>
      <c r="D72" s="13"/>
    </row>
    <row r="73" spans="1:4" ht="13">
      <c r="A73" s="14"/>
      <c r="B73" s="13"/>
      <c r="C73" s="13"/>
      <c r="D73" s="13"/>
    </row>
    <row r="74" spans="1:4" ht="13">
      <c r="A74" s="14"/>
      <c r="B74" s="13"/>
      <c r="C74" s="13"/>
      <c r="D74" s="13"/>
    </row>
    <row r="75" spans="1:4" ht="13">
      <c r="A75" s="14"/>
      <c r="B75" s="13"/>
      <c r="C75" s="13"/>
      <c r="D75" s="13"/>
    </row>
    <row r="76" spans="1:4" ht="13">
      <c r="A76" s="14"/>
      <c r="B76" s="13"/>
      <c r="C76" s="13"/>
      <c r="D76" s="13"/>
    </row>
    <row r="77" spans="1:4" ht="13">
      <c r="A77" s="14"/>
      <c r="B77" s="13"/>
      <c r="C77" s="13"/>
      <c r="D77" s="13"/>
    </row>
    <row r="78" spans="1:4" ht="13">
      <c r="A78" s="14"/>
      <c r="B78" s="13"/>
      <c r="C78" s="13"/>
      <c r="D78" s="13"/>
    </row>
    <row r="79" spans="1:4" ht="13">
      <c r="A79" s="14"/>
      <c r="B79" s="13"/>
      <c r="C79" s="13"/>
      <c r="D79" s="13"/>
    </row>
    <row r="80" spans="1:4" ht="13">
      <c r="A80" s="14"/>
      <c r="B80" s="13"/>
      <c r="C80" s="13"/>
      <c r="D80" s="13"/>
    </row>
    <row r="81" spans="1:4" ht="13">
      <c r="A81" s="14"/>
      <c r="B81" s="13"/>
      <c r="C81" s="13"/>
      <c r="D81" s="13"/>
    </row>
    <row r="82" spans="1:4" ht="13">
      <c r="A82" s="14"/>
      <c r="B82" s="13"/>
      <c r="C82" s="13"/>
      <c r="D82" s="13"/>
    </row>
    <row r="83" spans="1:4" ht="13">
      <c r="A83" s="14"/>
      <c r="B83" s="13"/>
      <c r="C83" s="13"/>
      <c r="D83" s="13"/>
    </row>
    <row r="84" spans="1:4" ht="13">
      <c r="A84" s="14"/>
      <c r="B84" s="13"/>
      <c r="C84" s="13"/>
      <c r="D84" s="13"/>
    </row>
    <row r="85" spans="1:4" ht="13">
      <c r="A85" s="14"/>
      <c r="B85" s="13"/>
      <c r="C85" s="13"/>
      <c r="D85" s="13"/>
    </row>
    <row r="86" spans="1:4" ht="13">
      <c r="A86" s="14"/>
      <c r="B86" s="13"/>
      <c r="C86" s="13"/>
      <c r="D86" s="13"/>
    </row>
    <row r="87" spans="1:4" ht="13">
      <c r="A87" s="14"/>
      <c r="B87" s="13"/>
      <c r="C87" s="13"/>
      <c r="D87" s="13"/>
    </row>
    <row r="88" spans="1:4" ht="13">
      <c r="A88" s="14"/>
      <c r="B88" s="13"/>
      <c r="C88" s="13"/>
      <c r="D88" s="13"/>
    </row>
    <row r="89" spans="1:4" ht="13">
      <c r="A89" s="14"/>
      <c r="B89" s="13"/>
      <c r="C89" s="13"/>
      <c r="D89" s="13"/>
    </row>
    <row r="90" spans="1:4" ht="13">
      <c r="A90" s="14"/>
      <c r="B90" s="13"/>
      <c r="C90" s="13"/>
      <c r="D90" s="13"/>
    </row>
    <row r="91" spans="1:4" ht="13">
      <c r="A91" s="14"/>
      <c r="B91" s="13"/>
      <c r="C91" s="13"/>
      <c r="D91" s="13"/>
    </row>
    <row r="92" spans="1:4" ht="13">
      <c r="A92" s="14"/>
      <c r="B92" s="13"/>
      <c r="C92" s="13"/>
      <c r="D92" s="13"/>
    </row>
    <row r="93" spans="1:4" ht="13">
      <c r="A93" s="14"/>
      <c r="B93" s="13"/>
      <c r="C93" s="13"/>
      <c r="D93" s="13"/>
    </row>
    <row r="94" spans="1:4" ht="13">
      <c r="A94" s="14"/>
      <c r="B94" s="13"/>
      <c r="C94" s="13"/>
      <c r="D94" s="13"/>
    </row>
    <row r="95" spans="1:4" ht="13">
      <c r="A95" s="14"/>
      <c r="B95" s="13"/>
      <c r="C95" s="13"/>
      <c r="D95" s="13"/>
    </row>
    <row r="96" spans="1:4" ht="13">
      <c r="A96" s="14"/>
      <c r="B96" s="13"/>
      <c r="C96" s="13"/>
      <c r="D96" s="13"/>
    </row>
    <row r="97" spans="1:4" ht="13">
      <c r="A97" s="14"/>
      <c r="B97" s="13"/>
      <c r="C97" s="13"/>
      <c r="D97" s="13"/>
    </row>
    <row r="98" spans="1:4" ht="13">
      <c r="A98" s="14"/>
      <c r="B98" s="13"/>
      <c r="C98" s="13"/>
      <c r="D98" s="13"/>
    </row>
    <row r="99" spans="1:4" ht="13">
      <c r="A99" s="14"/>
      <c r="B99" s="13"/>
      <c r="C99" s="13"/>
      <c r="D99" s="13"/>
    </row>
    <row r="100" spans="1:4" ht="13">
      <c r="A100" s="14"/>
      <c r="B100" s="13"/>
      <c r="C100" s="13"/>
      <c r="D100" s="13"/>
    </row>
    <row r="101" spans="1:4" ht="13">
      <c r="A101" s="14"/>
      <c r="B101" s="13"/>
      <c r="C101" s="13"/>
      <c r="D101" s="13"/>
    </row>
    <row r="102" spans="1:4" ht="13">
      <c r="A102" s="14"/>
      <c r="B102" s="13"/>
      <c r="C102" s="13"/>
      <c r="D102" s="13"/>
    </row>
    <row r="103" spans="1:4" ht="13">
      <c r="A103" s="14"/>
      <c r="B103" s="13"/>
      <c r="C103" s="13"/>
      <c r="D103" s="13"/>
    </row>
    <row r="104" spans="1:4" ht="13">
      <c r="A104" s="14"/>
      <c r="B104" s="13"/>
      <c r="C104" s="13"/>
      <c r="D104" s="13"/>
    </row>
    <row r="105" spans="1:4" ht="13">
      <c r="A105" s="14"/>
      <c r="B105" s="13"/>
      <c r="C105" s="13"/>
      <c r="D105" s="13"/>
    </row>
    <row r="106" spans="1:4" ht="13">
      <c r="A106" s="14"/>
      <c r="B106" s="13"/>
      <c r="C106" s="13"/>
      <c r="D106" s="13"/>
    </row>
    <row r="107" spans="1:4" ht="13">
      <c r="A107" s="14"/>
      <c r="B107" s="13"/>
      <c r="C107" s="13"/>
      <c r="D107" s="13"/>
    </row>
    <row r="108" spans="1:4" ht="13">
      <c r="A108" s="14"/>
      <c r="B108" s="13"/>
      <c r="C108" s="13"/>
      <c r="D108" s="13"/>
    </row>
    <row r="109" spans="1:4" ht="13">
      <c r="A109" s="14"/>
      <c r="B109" s="13"/>
      <c r="C109" s="13"/>
      <c r="D109" s="13"/>
    </row>
    <row r="110" spans="1:4" ht="13">
      <c r="A110" s="14"/>
      <c r="B110" s="13"/>
      <c r="C110" s="13"/>
      <c r="D110" s="13"/>
    </row>
    <row r="111" spans="1:4" ht="13">
      <c r="A111" s="14"/>
      <c r="B111" s="13"/>
      <c r="C111" s="13"/>
      <c r="D111" s="13"/>
    </row>
    <row r="112" spans="1:4" ht="13">
      <c r="A112" s="14"/>
      <c r="B112" s="13"/>
      <c r="C112" s="13"/>
      <c r="D112" s="13"/>
    </row>
    <row r="113" spans="1:4" ht="13">
      <c r="A113" s="14"/>
      <c r="B113" s="13"/>
      <c r="C113" s="13"/>
      <c r="D113" s="13"/>
    </row>
    <row r="114" spans="1:4" ht="13">
      <c r="A114" s="14"/>
      <c r="B114" s="13"/>
      <c r="C114" s="13"/>
      <c r="D114" s="13"/>
    </row>
    <row r="115" spans="1:4" ht="13">
      <c r="A115" s="14"/>
      <c r="B115" s="13"/>
      <c r="C115" s="13"/>
      <c r="D115" s="13"/>
    </row>
    <row r="116" spans="1:4" ht="13">
      <c r="A116" s="14"/>
      <c r="B116" s="13"/>
      <c r="C116" s="13"/>
      <c r="D116" s="13"/>
    </row>
    <row r="117" spans="1:4" ht="13">
      <c r="A117" s="14"/>
      <c r="B117" s="13"/>
      <c r="C117" s="13"/>
      <c r="D117" s="13"/>
    </row>
    <row r="118" spans="1:4" ht="13">
      <c r="A118" s="14"/>
      <c r="B118" s="13"/>
      <c r="C118" s="13"/>
      <c r="D118" s="13"/>
    </row>
    <row r="119" spans="1:4" ht="13">
      <c r="A119" s="14"/>
      <c r="B119" s="13"/>
      <c r="C119" s="13"/>
      <c r="D119" s="13"/>
    </row>
    <row r="120" spans="1:4" ht="13">
      <c r="A120" s="14"/>
      <c r="B120" s="13"/>
      <c r="C120" s="13"/>
      <c r="D120" s="13"/>
    </row>
    <row r="121" spans="1:4" ht="13">
      <c r="A121" s="14"/>
      <c r="B121" s="13"/>
      <c r="C121" s="13"/>
      <c r="D121" s="13"/>
    </row>
    <row r="122" spans="1:4" ht="13">
      <c r="A122" s="14"/>
      <c r="B122" s="13"/>
      <c r="C122" s="13"/>
      <c r="D122" s="13"/>
    </row>
    <row r="123" spans="1:4" ht="13">
      <c r="A123" s="14"/>
      <c r="B123" s="13"/>
      <c r="C123" s="13"/>
      <c r="D123" s="13"/>
    </row>
    <row r="124" spans="1:4" ht="13">
      <c r="A124" s="14"/>
      <c r="B124" s="13"/>
      <c r="C124" s="13"/>
      <c r="D124" s="13"/>
    </row>
    <row r="125" spans="1:4" ht="13">
      <c r="A125" s="14"/>
      <c r="B125" s="13"/>
      <c r="C125" s="13"/>
      <c r="D125" s="13"/>
    </row>
    <row r="126" spans="1:4" ht="13">
      <c r="A126" s="14"/>
      <c r="B126" s="13"/>
      <c r="C126" s="13"/>
      <c r="D126" s="13"/>
    </row>
    <row r="127" spans="1:4" ht="13">
      <c r="A127" s="14"/>
      <c r="B127" s="13"/>
      <c r="C127" s="13"/>
      <c r="D127" s="13"/>
    </row>
    <row r="128" spans="1:4" ht="13">
      <c r="A128" s="14"/>
      <c r="B128" s="13"/>
      <c r="C128" s="13"/>
      <c r="D128" s="13"/>
    </row>
    <row r="129" spans="1:4" ht="13">
      <c r="A129" s="14"/>
      <c r="B129" s="13"/>
      <c r="C129" s="13"/>
      <c r="D129" s="13"/>
    </row>
    <row r="130" spans="1:4" ht="13">
      <c r="A130" s="14"/>
      <c r="B130" s="13"/>
      <c r="C130" s="13"/>
      <c r="D130" s="13"/>
    </row>
    <row r="131" spans="1:4" ht="13">
      <c r="A131" s="14"/>
      <c r="B131" s="13"/>
      <c r="C131" s="13"/>
      <c r="D131" s="13"/>
    </row>
    <row r="132" spans="1:4" ht="13">
      <c r="A132" s="14"/>
      <c r="B132" s="13"/>
      <c r="C132" s="13"/>
      <c r="D132" s="13"/>
    </row>
    <row r="133" spans="1:4" ht="13">
      <c r="A133" s="14"/>
      <c r="B133" s="13"/>
      <c r="C133" s="13"/>
      <c r="D133" s="13"/>
    </row>
    <row r="134" spans="1:4" ht="13">
      <c r="A134" s="14"/>
      <c r="B134" s="13"/>
      <c r="C134" s="13"/>
      <c r="D134" s="13"/>
    </row>
    <row r="135" spans="1:4" ht="13">
      <c r="A135" s="14"/>
      <c r="B135" s="13"/>
      <c r="C135" s="13"/>
      <c r="D135" s="13"/>
    </row>
    <row r="136" spans="1:4" ht="13">
      <c r="A136" s="14"/>
      <c r="B136" s="13"/>
      <c r="C136" s="13"/>
      <c r="D136" s="13"/>
    </row>
    <row r="137" spans="1:4" ht="13">
      <c r="A137" s="14"/>
      <c r="B137" s="13"/>
      <c r="C137" s="13"/>
      <c r="D137" s="13"/>
    </row>
    <row r="138" spans="1:4" ht="13">
      <c r="A138" s="14"/>
      <c r="B138" s="13"/>
      <c r="C138" s="13"/>
      <c r="D138" s="13"/>
    </row>
    <row r="139" spans="1:4" ht="13">
      <c r="A139" s="14"/>
      <c r="B139" s="13"/>
      <c r="C139" s="13"/>
      <c r="D139" s="13"/>
    </row>
    <row r="140" spans="1:4" ht="13">
      <c r="A140" s="14"/>
      <c r="B140" s="13"/>
      <c r="C140" s="13"/>
      <c r="D140" s="13"/>
    </row>
    <row r="141" spans="1:4" ht="13">
      <c r="A141" s="14"/>
      <c r="B141" s="13"/>
      <c r="C141" s="13"/>
      <c r="D141" s="13"/>
    </row>
    <row r="142" spans="1:4" ht="13">
      <c r="A142" s="14"/>
      <c r="B142" s="13"/>
      <c r="C142" s="13"/>
      <c r="D142" s="13"/>
    </row>
    <row r="143" spans="1:4" ht="13">
      <c r="A143" s="14"/>
      <c r="B143" s="13"/>
      <c r="C143" s="13"/>
      <c r="D143" s="13"/>
    </row>
    <row r="144" spans="1:4" ht="13">
      <c r="A144" s="14"/>
      <c r="B144" s="13"/>
      <c r="C144" s="13"/>
      <c r="D144" s="13"/>
    </row>
    <row r="145" spans="1:4" ht="13">
      <c r="A145" s="14"/>
      <c r="B145" s="13"/>
      <c r="C145" s="13"/>
      <c r="D145" s="13"/>
    </row>
    <row r="146" spans="1:4" ht="13">
      <c r="A146" s="14"/>
      <c r="B146" s="13"/>
      <c r="C146" s="13"/>
      <c r="D146" s="13"/>
    </row>
    <row r="147" spans="1:4" ht="13">
      <c r="A147" s="14"/>
      <c r="B147" s="13"/>
      <c r="C147" s="13"/>
      <c r="D147" s="13"/>
    </row>
    <row r="148" spans="1:4" ht="13">
      <c r="A148" s="14"/>
      <c r="B148" s="13"/>
      <c r="C148" s="13"/>
      <c r="D148" s="13"/>
    </row>
    <row r="149" spans="1:4" ht="13">
      <c r="A149" s="14"/>
      <c r="B149" s="13"/>
      <c r="C149" s="13"/>
      <c r="D149" s="13"/>
    </row>
    <row r="150" spans="1:4" ht="13">
      <c r="A150" s="14"/>
      <c r="B150" s="13"/>
      <c r="C150" s="13"/>
      <c r="D150" s="13"/>
    </row>
    <row r="151" spans="1:4" ht="13">
      <c r="A151" s="14"/>
      <c r="B151" s="13"/>
      <c r="C151" s="13"/>
      <c r="D151" s="13"/>
    </row>
    <row r="152" spans="1:4" ht="13">
      <c r="A152" s="14"/>
      <c r="B152" s="13"/>
      <c r="C152" s="13"/>
      <c r="D152" s="13"/>
    </row>
    <row r="153" spans="1:4" ht="13">
      <c r="A153" s="14"/>
      <c r="B153" s="13"/>
      <c r="C153" s="13"/>
      <c r="D153" s="13"/>
    </row>
    <row r="154" spans="1:4" ht="13">
      <c r="A154" s="14"/>
      <c r="B154" s="13"/>
      <c r="C154" s="13"/>
      <c r="D154" s="13"/>
    </row>
    <row r="155" spans="1:4" ht="13">
      <c r="A155" s="14"/>
      <c r="B155" s="13"/>
      <c r="C155" s="13"/>
      <c r="D155" s="13"/>
    </row>
    <row r="156" spans="1:4" ht="13">
      <c r="A156" s="14"/>
      <c r="B156" s="13"/>
      <c r="C156" s="13"/>
      <c r="D156" s="13"/>
    </row>
    <row r="157" spans="1:4" ht="13">
      <c r="A157" s="14"/>
      <c r="B157" s="13"/>
      <c r="C157" s="13"/>
      <c r="D157" s="13"/>
    </row>
    <row r="158" spans="1:4" ht="13">
      <c r="A158" s="14"/>
      <c r="B158" s="13"/>
      <c r="C158" s="13"/>
      <c r="D158" s="13"/>
    </row>
    <row r="159" spans="1:4" ht="13">
      <c r="A159" s="14"/>
      <c r="B159" s="13"/>
      <c r="C159" s="13"/>
      <c r="D159" s="13"/>
    </row>
    <row r="160" spans="1:4" ht="13">
      <c r="A160" s="14"/>
      <c r="B160" s="13"/>
      <c r="C160" s="13"/>
      <c r="D160" s="13"/>
    </row>
    <row r="161" spans="1:4" ht="13">
      <c r="A161" s="14"/>
      <c r="B161" s="13"/>
      <c r="C161" s="13"/>
      <c r="D161" s="13"/>
    </row>
    <row r="162" spans="1:4" ht="13">
      <c r="A162" s="14"/>
      <c r="B162" s="13"/>
      <c r="C162" s="13"/>
      <c r="D162" s="13"/>
    </row>
    <row r="163" spans="1:4" ht="13">
      <c r="A163" s="14"/>
      <c r="B163" s="13"/>
      <c r="C163" s="13"/>
      <c r="D163" s="13"/>
    </row>
    <row r="164" spans="1:4" ht="13">
      <c r="A164" s="14"/>
      <c r="B164" s="13"/>
      <c r="C164" s="13"/>
      <c r="D164" s="13"/>
    </row>
    <row r="165" spans="1:4" ht="13">
      <c r="A165" s="14"/>
      <c r="B165" s="13"/>
      <c r="C165" s="13"/>
      <c r="D165" s="13"/>
    </row>
    <row r="166" spans="1:4" ht="13">
      <c r="A166" s="14"/>
      <c r="B166" s="13"/>
      <c r="C166" s="13"/>
      <c r="D166" s="13"/>
    </row>
    <row r="167" spans="1:4" ht="13">
      <c r="A167" s="14"/>
      <c r="B167" s="13"/>
      <c r="C167" s="13"/>
      <c r="D167" s="13"/>
    </row>
    <row r="168" spans="1:4" ht="13">
      <c r="A168" s="14"/>
      <c r="B168" s="13"/>
      <c r="C168" s="13"/>
      <c r="D168" s="13"/>
    </row>
    <row r="169" spans="1:4" ht="13">
      <c r="A169" s="14"/>
      <c r="B169" s="13"/>
      <c r="C169" s="13"/>
      <c r="D169" s="13"/>
    </row>
    <row r="170" spans="1:4" ht="13">
      <c r="A170" s="14"/>
      <c r="B170" s="13"/>
      <c r="C170" s="13"/>
      <c r="D170" s="13"/>
    </row>
    <row r="171" spans="1:4" ht="13">
      <c r="A171" s="14"/>
      <c r="B171" s="13"/>
      <c r="C171" s="13"/>
      <c r="D171" s="13"/>
    </row>
    <row r="172" spans="1:4" ht="13">
      <c r="A172" s="14"/>
      <c r="B172" s="13"/>
      <c r="C172" s="13"/>
      <c r="D172" s="13"/>
    </row>
    <row r="173" spans="1:4" ht="13">
      <c r="A173" s="14"/>
      <c r="B173" s="13"/>
      <c r="C173" s="13"/>
      <c r="D173" s="13"/>
    </row>
    <row r="174" spans="1:4" ht="13">
      <c r="A174" s="14"/>
      <c r="B174" s="13"/>
      <c r="C174" s="13"/>
      <c r="D174" s="13"/>
    </row>
    <row r="175" spans="1:4" ht="13">
      <c r="A175" s="14"/>
      <c r="B175" s="13"/>
      <c r="C175" s="13"/>
      <c r="D175" s="13"/>
    </row>
    <row r="176" spans="1:4" ht="13">
      <c r="A176" s="14"/>
      <c r="B176" s="13"/>
      <c r="C176" s="13"/>
      <c r="D176" s="13"/>
    </row>
    <row r="177" spans="1:4" ht="13">
      <c r="A177" s="14"/>
      <c r="B177" s="13"/>
      <c r="C177" s="13"/>
      <c r="D177" s="13"/>
    </row>
    <row r="178" spans="1:4" ht="13">
      <c r="A178" s="14"/>
      <c r="B178" s="13"/>
      <c r="C178" s="13"/>
      <c r="D178" s="13"/>
    </row>
    <row r="179" spans="1:4" ht="13">
      <c r="A179" s="14"/>
      <c r="B179" s="13"/>
      <c r="C179" s="13"/>
      <c r="D179" s="13"/>
    </row>
    <row r="180" spans="1:4" ht="13">
      <c r="A180" s="14"/>
      <c r="B180" s="13"/>
      <c r="C180" s="13"/>
      <c r="D180" s="13"/>
    </row>
    <row r="181" spans="1:4" ht="13">
      <c r="A181" s="14"/>
      <c r="B181" s="13"/>
      <c r="C181" s="13"/>
      <c r="D181" s="13"/>
    </row>
    <row r="182" spans="1:4" ht="13">
      <c r="A182" s="14"/>
      <c r="B182" s="13"/>
      <c r="C182" s="13"/>
      <c r="D182" s="13"/>
    </row>
    <row r="183" spans="1:4" ht="13">
      <c r="A183" s="14"/>
      <c r="B183" s="13"/>
      <c r="C183" s="13"/>
      <c r="D183" s="13"/>
    </row>
    <row r="184" spans="1:4" ht="13">
      <c r="A184" s="14"/>
      <c r="B184" s="13"/>
      <c r="C184" s="13"/>
      <c r="D184" s="13"/>
    </row>
    <row r="185" spans="1:4" ht="13">
      <c r="A185" s="14"/>
      <c r="B185" s="13"/>
      <c r="C185" s="13"/>
      <c r="D185" s="13"/>
    </row>
    <row r="186" spans="1:4" ht="13">
      <c r="A186" s="14"/>
      <c r="B186" s="13"/>
      <c r="C186" s="13"/>
      <c r="D186" s="13"/>
    </row>
    <row r="187" spans="1:4" ht="13">
      <c r="A187" s="14"/>
      <c r="B187" s="13"/>
      <c r="C187" s="13"/>
      <c r="D187" s="13"/>
    </row>
    <row r="188" spans="1:4" ht="13">
      <c r="A188" s="14"/>
      <c r="B188" s="13"/>
      <c r="C188" s="13"/>
      <c r="D188" s="13"/>
    </row>
    <row r="189" spans="1:4" ht="13">
      <c r="A189" s="14"/>
      <c r="B189" s="13"/>
      <c r="C189" s="13"/>
      <c r="D189" s="13"/>
    </row>
    <row r="190" spans="1:4" ht="13">
      <c r="A190" s="14"/>
      <c r="B190" s="13"/>
      <c r="C190" s="13"/>
      <c r="D190" s="13"/>
    </row>
    <row r="191" spans="1:4" ht="13">
      <c r="A191" s="14"/>
      <c r="B191" s="13"/>
      <c r="C191" s="13"/>
      <c r="D191" s="13"/>
    </row>
    <row r="192" spans="1:4" ht="13">
      <c r="A192" s="14"/>
      <c r="B192" s="13"/>
      <c r="C192" s="13"/>
      <c r="D192" s="13"/>
    </row>
    <row r="193" spans="1:4" ht="13">
      <c r="A193" s="14"/>
      <c r="B193" s="13"/>
      <c r="C193" s="13"/>
      <c r="D193" s="13"/>
    </row>
    <row r="194" spans="1:4" ht="13">
      <c r="A194" s="14"/>
      <c r="B194" s="13"/>
      <c r="C194" s="13"/>
      <c r="D194" s="13"/>
    </row>
    <row r="195" spans="1:4" ht="13">
      <c r="A195" s="14"/>
      <c r="B195" s="13"/>
      <c r="C195" s="13"/>
      <c r="D195" s="13"/>
    </row>
    <row r="196" spans="1:4" ht="13">
      <c r="A196" s="14"/>
      <c r="B196" s="13"/>
      <c r="C196" s="13"/>
      <c r="D196" s="13"/>
    </row>
    <row r="197" spans="1:4" ht="13">
      <c r="A197" s="14"/>
      <c r="B197" s="13"/>
      <c r="C197" s="13"/>
      <c r="D197" s="13"/>
    </row>
    <row r="198" spans="1:4" ht="13">
      <c r="A198" s="14"/>
      <c r="B198" s="13"/>
      <c r="C198" s="13"/>
      <c r="D198" s="13"/>
    </row>
    <row r="199" spans="1:4" ht="13">
      <c r="A199" s="14"/>
      <c r="B199" s="13"/>
      <c r="C199" s="13"/>
      <c r="D199" s="13"/>
    </row>
    <row r="200" spans="1:4" ht="13">
      <c r="A200" s="14"/>
      <c r="B200" s="13"/>
      <c r="C200" s="13"/>
      <c r="D200" s="13"/>
    </row>
    <row r="201" spans="1:4" ht="13">
      <c r="A201" s="14"/>
      <c r="B201" s="13"/>
      <c r="C201" s="13"/>
      <c r="D201" s="13"/>
    </row>
    <row r="202" spans="1:4" ht="13">
      <c r="A202" s="14"/>
      <c r="B202" s="13"/>
      <c r="C202" s="13"/>
      <c r="D202" s="13"/>
    </row>
    <row r="203" spans="1:4" ht="13">
      <c r="A203" s="14"/>
      <c r="B203" s="13"/>
      <c r="C203" s="13"/>
      <c r="D203" s="13"/>
    </row>
    <row r="204" spans="1:4" ht="13">
      <c r="A204" s="14"/>
      <c r="B204" s="13"/>
      <c r="C204" s="13"/>
      <c r="D204" s="13"/>
    </row>
    <row r="205" spans="1:4" ht="13">
      <c r="A205" s="14"/>
      <c r="B205" s="13"/>
      <c r="C205" s="13"/>
      <c r="D205" s="13"/>
    </row>
    <row r="206" spans="1:4" ht="13">
      <c r="A206" s="14"/>
      <c r="B206" s="13"/>
      <c r="C206" s="13"/>
      <c r="D206" s="13"/>
    </row>
    <row r="207" spans="1:4" ht="13">
      <c r="A207" s="14"/>
      <c r="B207" s="13"/>
      <c r="C207" s="13"/>
      <c r="D207" s="13"/>
    </row>
    <row r="208" spans="1:4" ht="13">
      <c r="A208" s="14"/>
      <c r="B208" s="13"/>
      <c r="C208" s="13"/>
      <c r="D208" s="13"/>
    </row>
    <row r="209" spans="1:4" ht="13">
      <c r="A209" s="14"/>
      <c r="B209" s="13"/>
      <c r="C209" s="13"/>
      <c r="D209" s="13"/>
    </row>
    <row r="210" spans="1:4" ht="13">
      <c r="A210" s="14"/>
      <c r="B210" s="13"/>
      <c r="C210" s="13"/>
      <c r="D210" s="13"/>
    </row>
    <row r="211" spans="1:4" ht="13">
      <c r="A211" s="14"/>
      <c r="B211" s="13"/>
      <c r="C211" s="13"/>
      <c r="D211" s="13"/>
    </row>
    <row r="212" spans="1:4" ht="13">
      <c r="A212" s="14"/>
      <c r="B212" s="13"/>
      <c r="C212" s="13"/>
      <c r="D212" s="13"/>
    </row>
    <row r="213" spans="1:4" ht="13">
      <c r="A213" s="14"/>
      <c r="B213" s="13"/>
      <c r="C213" s="13"/>
      <c r="D213" s="13"/>
    </row>
    <row r="214" spans="1:4" ht="13">
      <c r="A214" s="14"/>
      <c r="B214" s="13"/>
      <c r="C214" s="13"/>
      <c r="D214" s="13"/>
    </row>
    <row r="215" spans="1:4" ht="13">
      <c r="A215" s="14"/>
      <c r="B215" s="13"/>
      <c r="C215" s="13"/>
      <c r="D215" s="13"/>
    </row>
    <row r="216" spans="1:4" ht="13">
      <c r="A216" s="14"/>
      <c r="B216" s="13"/>
      <c r="C216" s="13"/>
      <c r="D216" s="13"/>
    </row>
    <row r="217" spans="1:4" ht="13">
      <c r="A217" s="14"/>
      <c r="B217" s="13"/>
      <c r="C217" s="13"/>
      <c r="D217" s="13"/>
    </row>
    <row r="218" spans="1:4" ht="13">
      <c r="A218" s="14"/>
      <c r="B218" s="13"/>
      <c r="C218" s="13"/>
      <c r="D218" s="13"/>
    </row>
    <row r="219" spans="1:4" ht="13">
      <c r="A219" s="14"/>
      <c r="B219" s="13"/>
      <c r="C219" s="13"/>
      <c r="D219" s="13"/>
    </row>
    <row r="220" spans="1:4" ht="13">
      <c r="A220" s="14"/>
      <c r="B220" s="13"/>
      <c r="C220" s="13"/>
      <c r="D220" s="13"/>
    </row>
    <row r="221" spans="1:4" ht="13">
      <c r="A221" s="14"/>
      <c r="B221" s="13"/>
      <c r="C221" s="13"/>
      <c r="D221" s="13"/>
    </row>
    <row r="222" spans="1:4" ht="13">
      <c r="A222" s="14"/>
      <c r="B222" s="13"/>
      <c r="C222" s="13"/>
      <c r="D222" s="13"/>
    </row>
    <row r="223" spans="1:4" ht="13">
      <c r="A223" s="14"/>
      <c r="B223" s="13"/>
      <c r="C223" s="13"/>
      <c r="D223" s="13"/>
    </row>
    <row r="224" spans="1:4" ht="13">
      <c r="A224" s="14"/>
      <c r="B224" s="13"/>
      <c r="C224" s="13"/>
      <c r="D224" s="13"/>
    </row>
    <row r="225" spans="1:4" ht="13">
      <c r="A225" s="14"/>
      <c r="B225" s="13"/>
      <c r="C225" s="13"/>
      <c r="D225" s="13"/>
    </row>
    <row r="226" spans="1:4" ht="13">
      <c r="A226" s="14"/>
      <c r="B226" s="13"/>
      <c r="C226" s="13"/>
      <c r="D226" s="13"/>
    </row>
    <row r="227" spans="1:4" ht="13">
      <c r="A227" s="14"/>
      <c r="B227" s="13"/>
      <c r="C227" s="13"/>
      <c r="D227" s="13"/>
    </row>
    <row r="228" spans="1:4" ht="13">
      <c r="A228" s="14"/>
      <c r="B228" s="13"/>
      <c r="C228" s="13"/>
      <c r="D228" s="13"/>
    </row>
    <row r="229" spans="1:4" ht="13">
      <c r="A229" s="14"/>
      <c r="B229" s="13"/>
      <c r="C229" s="13"/>
      <c r="D229" s="13"/>
    </row>
    <row r="230" spans="1:4" ht="13">
      <c r="A230" s="14"/>
      <c r="B230" s="13"/>
      <c r="C230" s="13"/>
      <c r="D230" s="13"/>
    </row>
    <row r="231" spans="1:4" ht="13">
      <c r="A231" s="14"/>
      <c r="B231" s="13"/>
      <c r="C231" s="13"/>
      <c r="D231" s="13"/>
    </row>
    <row r="232" spans="1:4" ht="13">
      <c r="A232" s="14"/>
      <c r="B232" s="13"/>
      <c r="C232" s="13"/>
      <c r="D232" s="13"/>
    </row>
    <row r="233" spans="1:4" ht="13">
      <c r="A233" s="14"/>
      <c r="B233" s="13"/>
      <c r="C233" s="13"/>
      <c r="D233" s="13"/>
    </row>
    <row r="234" spans="1:4" ht="13">
      <c r="A234" s="14"/>
      <c r="B234" s="13"/>
      <c r="C234" s="13"/>
      <c r="D234" s="13"/>
    </row>
    <row r="235" spans="1:4" ht="13">
      <c r="A235" s="14"/>
      <c r="B235" s="13"/>
      <c r="C235" s="13"/>
      <c r="D235" s="13"/>
    </row>
    <row r="236" spans="1:4" ht="13">
      <c r="A236" s="14"/>
      <c r="B236" s="13"/>
      <c r="C236" s="13"/>
      <c r="D236" s="13"/>
    </row>
    <row r="237" spans="1:4" ht="13">
      <c r="A237" s="14"/>
      <c r="B237" s="13"/>
      <c r="C237" s="13"/>
      <c r="D237" s="13"/>
    </row>
    <row r="238" spans="1:4" ht="13">
      <c r="A238" s="14"/>
      <c r="B238" s="13"/>
      <c r="C238" s="13"/>
      <c r="D238" s="13"/>
    </row>
    <row r="239" spans="1:4" ht="13">
      <c r="A239" s="14"/>
      <c r="B239" s="13"/>
      <c r="C239" s="13"/>
      <c r="D239" s="13"/>
    </row>
    <row r="240" spans="1:4" ht="13">
      <c r="A240" s="14"/>
      <c r="B240" s="13"/>
      <c r="C240" s="13"/>
      <c r="D240" s="13"/>
    </row>
    <row r="241" spans="1:4" ht="13">
      <c r="A241" s="14"/>
      <c r="B241" s="13"/>
      <c r="C241" s="13"/>
      <c r="D241" s="13"/>
    </row>
    <row r="242" spans="1:4" ht="13">
      <c r="A242" s="14"/>
      <c r="B242" s="13"/>
      <c r="C242" s="13"/>
      <c r="D242" s="13"/>
    </row>
    <row r="243" spans="1:4" ht="13">
      <c r="A243" s="14"/>
      <c r="B243" s="13"/>
      <c r="C243" s="13"/>
      <c r="D243" s="13"/>
    </row>
    <row r="244" spans="1:4" ht="13">
      <c r="A244" s="14"/>
      <c r="B244" s="13"/>
      <c r="C244" s="13"/>
      <c r="D244" s="13"/>
    </row>
    <row r="245" spans="1:4" ht="13">
      <c r="A245" s="14"/>
      <c r="B245" s="13"/>
      <c r="C245" s="13"/>
      <c r="D245" s="13"/>
    </row>
    <row r="246" spans="1:4" ht="13">
      <c r="A246" s="14"/>
      <c r="B246" s="13"/>
      <c r="C246" s="13"/>
      <c r="D246" s="13"/>
    </row>
    <row r="247" spans="1:4" ht="13">
      <c r="A247" s="14"/>
      <c r="B247" s="13"/>
      <c r="C247" s="13"/>
      <c r="D247" s="13"/>
    </row>
    <row r="248" spans="1:4" ht="13">
      <c r="A248" s="14"/>
      <c r="B248" s="13"/>
      <c r="C248" s="13"/>
      <c r="D248" s="13"/>
    </row>
    <row r="249" spans="1:4" ht="13">
      <c r="A249" s="14"/>
      <c r="B249" s="13"/>
      <c r="C249" s="13"/>
      <c r="D249" s="13"/>
    </row>
    <row r="250" spans="1:4" ht="13">
      <c r="A250" s="14"/>
      <c r="B250" s="13"/>
      <c r="C250" s="13"/>
      <c r="D250" s="13"/>
    </row>
    <row r="251" spans="1:4" ht="13">
      <c r="A251" s="14"/>
      <c r="B251" s="13"/>
      <c r="C251" s="13"/>
      <c r="D251" s="13"/>
    </row>
    <row r="252" spans="1:4" ht="13">
      <c r="A252" s="14"/>
      <c r="B252" s="13"/>
      <c r="C252" s="13"/>
      <c r="D252" s="13"/>
    </row>
    <row r="253" spans="1:4" ht="13">
      <c r="A253" s="14"/>
      <c r="B253" s="13"/>
      <c r="C253" s="13"/>
      <c r="D253" s="13"/>
    </row>
    <row r="254" spans="1:4" ht="13">
      <c r="A254" s="14"/>
      <c r="B254" s="13"/>
      <c r="C254" s="13"/>
      <c r="D254" s="13"/>
    </row>
    <row r="255" spans="1:4" ht="13">
      <c r="A255" s="14"/>
      <c r="B255" s="13"/>
      <c r="C255" s="13"/>
      <c r="D255" s="13"/>
    </row>
    <row r="256" spans="1:4" ht="13">
      <c r="A256" s="14"/>
      <c r="B256" s="13"/>
      <c r="C256" s="13"/>
      <c r="D256" s="13"/>
    </row>
    <row r="257" spans="1:4" ht="13">
      <c r="A257" s="14"/>
      <c r="B257" s="13"/>
      <c r="C257" s="13"/>
      <c r="D257" s="13"/>
    </row>
    <row r="258" spans="1:4" ht="13">
      <c r="A258" s="14"/>
      <c r="B258" s="13"/>
      <c r="C258" s="13"/>
      <c r="D258" s="13"/>
    </row>
    <row r="259" spans="1:4" ht="13">
      <c r="A259" s="14"/>
      <c r="B259" s="13"/>
      <c r="C259" s="13"/>
      <c r="D259" s="13"/>
    </row>
    <row r="260" spans="1:4" ht="13">
      <c r="A260" s="14"/>
      <c r="B260" s="13"/>
      <c r="C260" s="13"/>
      <c r="D260" s="13"/>
    </row>
    <row r="261" spans="1:4" ht="13">
      <c r="A261" s="14"/>
      <c r="B261" s="13"/>
      <c r="C261" s="13"/>
      <c r="D261" s="13"/>
    </row>
    <row r="262" spans="1:4" ht="13">
      <c r="A262" s="14"/>
      <c r="B262" s="13"/>
      <c r="C262" s="13"/>
      <c r="D262" s="13"/>
    </row>
    <row r="263" spans="1:4" ht="13">
      <c r="A263" s="14"/>
      <c r="B263" s="13"/>
      <c r="C263" s="13"/>
      <c r="D263" s="13"/>
    </row>
    <row r="264" spans="1:4" ht="13">
      <c r="A264" s="14"/>
      <c r="B264" s="13"/>
      <c r="C264" s="13"/>
      <c r="D264" s="13"/>
    </row>
    <row r="265" spans="1:4" ht="13">
      <c r="A265" s="14"/>
      <c r="B265" s="13"/>
      <c r="C265" s="13"/>
      <c r="D265" s="13"/>
    </row>
    <row r="266" spans="1:4" ht="13">
      <c r="A266" s="14"/>
      <c r="B266" s="13"/>
      <c r="C266" s="13"/>
      <c r="D266" s="13"/>
    </row>
    <row r="267" spans="1:4" ht="13">
      <c r="A267" s="14"/>
      <c r="B267" s="13"/>
      <c r="C267" s="13"/>
      <c r="D267" s="13"/>
    </row>
    <row r="268" spans="1:4" ht="13">
      <c r="A268" s="14"/>
      <c r="B268" s="13"/>
      <c r="C268" s="13"/>
      <c r="D268" s="13"/>
    </row>
    <row r="269" spans="1:4" ht="13">
      <c r="A269" s="14"/>
      <c r="B269" s="13"/>
      <c r="C269" s="13"/>
      <c r="D269" s="13"/>
    </row>
    <row r="270" spans="1:4" ht="13">
      <c r="A270" s="14"/>
      <c r="B270" s="13"/>
      <c r="C270" s="13"/>
      <c r="D270" s="13"/>
    </row>
    <row r="271" spans="1:4" ht="13">
      <c r="A271" s="14"/>
      <c r="B271" s="13"/>
      <c r="C271" s="13"/>
      <c r="D271" s="13"/>
    </row>
    <row r="272" spans="1:4" ht="13">
      <c r="A272" s="14"/>
      <c r="B272" s="13"/>
      <c r="C272" s="13"/>
      <c r="D272" s="13"/>
    </row>
    <row r="273" spans="1:4" ht="13">
      <c r="A273" s="14"/>
      <c r="B273" s="13"/>
      <c r="C273" s="13"/>
      <c r="D273" s="13"/>
    </row>
    <row r="274" spans="1:4" ht="13">
      <c r="A274" s="14"/>
      <c r="B274" s="13"/>
      <c r="C274" s="13"/>
      <c r="D274" s="13"/>
    </row>
    <row r="275" spans="1:4" ht="13">
      <c r="A275" s="14"/>
      <c r="B275" s="13"/>
      <c r="C275" s="13"/>
      <c r="D275" s="13"/>
    </row>
    <row r="276" spans="1:4" ht="13">
      <c r="A276" s="14"/>
      <c r="B276" s="13"/>
      <c r="C276" s="13"/>
      <c r="D276" s="13"/>
    </row>
    <row r="277" spans="1:4" ht="13">
      <c r="A277" s="14"/>
      <c r="B277" s="13"/>
      <c r="C277" s="13"/>
      <c r="D277" s="13"/>
    </row>
    <row r="278" spans="1:4" ht="13">
      <c r="A278" s="14"/>
      <c r="B278" s="13"/>
      <c r="C278" s="13"/>
      <c r="D278" s="13"/>
    </row>
    <row r="279" spans="1:4" ht="13">
      <c r="A279" s="14"/>
      <c r="B279" s="13"/>
      <c r="C279" s="13"/>
      <c r="D279" s="13"/>
    </row>
    <row r="280" spans="1:4" ht="13">
      <c r="A280" s="14"/>
      <c r="B280" s="13"/>
      <c r="C280" s="13"/>
      <c r="D280" s="13"/>
    </row>
    <row r="281" spans="1:4" ht="13">
      <c r="A281" s="14"/>
      <c r="B281" s="13"/>
      <c r="C281" s="13"/>
      <c r="D281" s="13"/>
    </row>
    <row r="282" spans="1:4" ht="13">
      <c r="A282" s="14"/>
      <c r="B282" s="13"/>
      <c r="C282" s="13"/>
      <c r="D282" s="13"/>
    </row>
    <row r="283" spans="1:4" ht="13">
      <c r="A283" s="14"/>
      <c r="B283" s="13"/>
      <c r="C283" s="13"/>
      <c r="D283" s="13"/>
    </row>
    <row r="284" spans="1:4" ht="13">
      <c r="A284" s="14"/>
      <c r="B284" s="13"/>
      <c r="C284" s="13"/>
      <c r="D284" s="13"/>
    </row>
    <row r="285" spans="1:4" ht="13">
      <c r="A285" s="14"/>
      <c r="B285" s="13"/>
      <c r="C285" s="13"/>
      <c r="D285" s="13"/>
    </row>
    <row r="286" spans="1:4" ht="13">
      <c r="A286" s="14"/>
      <c r="B286" s="13"/>
      <c r="C286" s="13"/>
      <c r="D286" s="13"/>
    </row>
    <row r="287" spans="1:4" ht="13">
      <c r="A287" s="14"/>
      <c r="B287" s="13"/>
      <c r="C287" s="13"/>
      <c r="D287" s="13"/>
    </row>
    <row r="288" spans="1:4" ht="13">
      <c r="A288" s="14"/>
      <c r="B288" s="13"/>
      <c r="C288" s="13"/>
      <c r="D288" s="13"/>
    </row>
    <row r="289" spans="1:4" ht="13">
      <c r="A289" s="14"/>
      <c r="B289" s="13"/>
      <c r="C289" s="13"/>
      <c r="D289" s="13"/>
    </row>
    <row r="290" spans="1:4" ht="13">
      <c r="A290" s="14"/>
      <c r="B290" s="13"/>
      <c r="C290" s="13"/>
      <c r="D290" s="13"/>
    </row>
    <row r="291" spans="1:4" ht="13">
      <c r="A291" s="14"/>
      <c r="B291" s="13"/>
      <c r="C291" s="13"/>
      <c r="D291" s="13"/>
    </row>
    <row r="292" spans="1:4" ht="13">
      <c r="A292" s="14"/>
      <c r="B292" s="13"/>
      <c r="C292" s="13"/>
      <c r="D292" s="13"/>
    </row>
    <row r="293" spans="1:4" ht="13">
      <c r="A293" s="14"/>
      <c r="B293" s="13"/>
      <c r="C293" s="13"/>
      <c r="D293" s="13"/>
    </row>
    <row r="294" spans="1:4" ht="13">
      <c r="A294" s="14"/>
      <c r="B294" s="13"/>
      <c r="C294" s="13"/>
      <c r="D294" s="13"/>
    </row>
    <row r="295" spans="1:4" ht="13">
      <c r="A295" s="14"/>
      <c r="B295" s="13"/>
      <c r="C295" s="13"/>
      <c r="D295" s="13"/>
    </row>
    <row r="296" spans="1:4" ht="13">
      <c r="A296" s="14"/>
      <c r="B296" s="13"/>
      <c r="C296" s="13"/>
      <c r="D296" s="13"/>
    </row>
    <row r="297" spans="1:4" ht="13">
      <c r="A297" s="14"/>
      <c r="B297" s="13"/>
      <c r="C297" s="13"/>
      <c r="D297" s="13"/>
    </row>
    <row r="298" spans="1:4" ht="13">
      <c r="A298" s="14"/>
      <c r="B298" s="13"/>
      <c r="C298" s="13"/>
      <c r="D298" s="13"/>
    </row>
    <row r="299" spans="1:4" ht="13">
      <c r="A299" s="14"/>
      <c r="B299" s="13"/>
      <c r="C299" s="13"/>
      <c r="D299" s="13"/>
    </row>
    <row r="300" spans="1:4" ht="13">
      <c r="A300" s="14"/>
      <c r="B300" s="13"/>
      <c r="C300" s="13"/>
      <c r="D300" s="13"/>
    </row>
    <row r="301" spans="1:4" ht="13">
      <c r="A301" s="14"/>
      <c r="B301" s="13"/>
      <c r="C301" s="13"/>
      <c r="D301" s="13"/>
    </row>
    <row r="302" spans="1:4" ht="13">
      <c r="A302" s="14"/>
      <c r="B302" s="13"/>
      <c r="C302" s="13"/>
      <c r="D302" s="13"/>
    </row>
    <row r="303" spans="1:4" ht="13">
      <c r="A303" s="14"/>
      <c r="B303" s="13"/>
      <c r="C303" s="13"/>
      <c r="D303" s="13"/>
    </row>
    <row r="304" spans="1:4" ht="13">
      <c r="A304" s="14"/>
      <c r="B304" s="13"/>
      <c r="C304" s="13"/>
      <c r="D304" s="13"/>
    </row>
    <row r="305" spans="1:4" ht="13">
      <c r="A305" s="14"/>
      <c r="B305" s="13"/>
      <c r="C305" s="13"/>
      <c r="D305" s="13"/>
    </row>
    <row r="306" spans="1:4" ht="13">
      <c r="A306" s="14"/>
      <c r="B306" s="13"/>
      <c r="C306" s="13"/>
      <c r="D306" s="13"/>
    </row>
    <row r="307" spans="1:4" ht="13">
      <c r="A307" s="14"/>
      <c r="B307" s="13"/>
      <c r="C307" s="13"/>
      <c r="D307" s="13"/>
    </row>
    <row r="308" spans="1:4" ht="13">
      <c r="A308" s="14"/>
      <c r="B308" s="13"/>
      <c r="C308" s="13"/>
      <c r="D308" s="13"/>
    </row>
    <row r="309" spans="1:4" ht="13">
      <c r="A309" s="14"/>
      <c r="B309" s="13"/>
      <c r="C309" s="13"/>
      <c r="D309" s="13"/>
    </row>
    <row r="310" spans="1:4" ht="13">
      <c r="A310" s="14"/>
      <c r="B310" s="13"/>
      <c r="C310" s="13"/>
      <c r="D310" s="13"/>
    </row>
    <row r="311" spans="1:4" ht="13">
      <c r="A311" s="14"/>
      <c r="B311" s="13"/>
      <c r="C311" s="13"/>
      <c r="D311" s="13"/>
    </row>
    <row r="312" spans="1:4" ht="13">
      <c r="A312" s="14"/>
      <c r="B312" s="13"/>
      <c r="C312" s="13"/>
      <c r="D312" s="13"/>
    </row>
    <row r="313" spans="1:4" ht="13">
      <c r="A313" s="14"/>
      <c r="B313" s="13"/>
      <c r="C313" s="13"/>
      <c r="D313" s="13"/>
    </row>
    <row r="314" spans="1:4" ht="13">
      <c r="A314" s="14"/>
      <c r="B314" s="13"/>
      <c r="C314" s="13"/>
      <c r="D314" s="13"/>
    </row>
    <row r="315" spans="1:4" ht="13">
      <c r="A315" s="14"/>
      <c r="B315" s="13"/>
      <c r="C315" s="13"/>
      <c r="D315" s="13"/>
    </row>
    <row r="316" spans="1:4" ht="13">
      <c r="A316" s="14"/>
      <c r="B316" s="13"/>
      <c r="C316" s="13"/>
      <c r="D316" s="13"/>
    </row>
    <row r="317" spans="1:4" ht="13">
      <c r="A317" s="14"/>
      <c r="B317" s="13"/>
      <c r="C317" s="13"/>
      <c r="D317" s="13"/>
    </row>
    <row r="318" spans="1:4" ht="13">
      <c r="A318" s="14"/>
      <c r="B318" s="13"/>
      <c r="C318" s="13"/>
      <c r="D318" s="13"/>
    </row>
    <row r="319" spans="1:4" ht="13">
      <c r="A319" s="14"/>
      <c r="B319" s="13"/>
      <c r="C319" s="13"/>
      <c r="D319" s="13"/>
    </row>
    <row r="320" spans="1:4" ht="13">
      <c r="A320" s="14"/>
      <c r="B320" s="13"/>
      <c r="C320" s="13"/>
      <c r="D320" s="13"/>
    </row>
    <row r="321" spans="1:4" ht="13">
      <c r="A321" s="14"/>
      <c r="B321" s="13"/>
      <c r="C321" s="13"/>
      <c r="D321" s="13"/>
    </row>
    <row r="322" spans="1:4" ht="13">
      <c r="A322" s="14"/>
      <c r="B322" s="13"/>
      <c r="C322" s="13"/>
      <c r="D322" s="13"/>
    </row>
    <row r="323" spans="1:4" ht="13">
      <c r="A323" s="14"/>
      <c r="B323" s="13"/>
      <c r="C323" s="13"/>
      <c r="D323" s="13"/>
    </row>
    <row r="324" spans="1:4" ht="13">
      <c r="A324" s="14"/>
      <c r="B324" s="13"/>
      <c r="C324" s="13"/>
      <c r="D324" s="13"/>
    </row>
    <row r="325" spans="1:4" ht="13">
      <c r="A325" s="14"/>
      <c r="B325" s="13"/>
      <c r="C325" s="13"/>
      <c r="D325" s="13"/>
    </row>
    <row r="326" spans="1:4" ht="13">
      <c r="A326" s="14"/>
      <c r="B326" s="13"/>
      <c r="C326" s="13"/>
      <c r="D326" s="13"/>
    </row>
    <row r="327" spans="1:4" ht="13">
      <c r="A327" s="14"/>
      <c r="B327" s="13"/>
      <c r="C327" s="13"/>
      <c r="D327" s="13"/>
    </row>
    <row r="328" spans="1:4" ht="13">
      <c r="A328" s="14"/>
      <c r="B328" s="13"/>
      <c r="C328" s="13"/>
      <c r="D328" s="13"/>
    </row>
    <row r="329" spans="1:4" ht="13">
      <c r="A329" s="14"/>
      <c r="B329" s="13"/>
      <c r="C329" s="13"/>
      <c r="D329" s="13"/>
    </row>
    <row r="330" spans="1:4" ht="13">
      <c r="A330" s="14"/>
      <c r="B330" s="13"/>
      <c r="C330" s="13"/>
      <c r="D330" s="13"/>
    </row>
    <row r="331" spans="1:4" ht="13">
      <c r="A331" s="14"/>
      <c r="B331" s="13"/>
      <c r="C331" s="13"/>
      <c r="D331" s="13"/>
    </row>
    <row r="332" spans="1:4" ht="13">
      <c r="A332" s="14"/>
      <c r="B332" s="13"/>
      <c r="C332" s="13"/>
      <c r="D332" s="13"/>
    </row>
    <row r="333" spans="1:4" ht="13">
      <c r="A333" s="14"/>
      <c r="B333" s="13"/>
      <c r="C333" s="13"/>
      <c r="D333" s="13"/>
    </row>
    <row r="334" spans="1:4" ht="13">
      <c r="A334" s="14"/>
      <c r="B334" s="13"/>
      <c r="C334" s="13"/>
      <c r="D334" s="13"/>
    </row>
    <row r="335" spans="1:4" ht="13">
      <c r="A335" s="14"/>
      <c r="B335" s="13"/>
      <c r="C335" s="13"/>
      <c r="D335" s="13"/>
    </row>
    <row r="336" spans="1:4" ht="13">
      <c r="A336" s="14"/>
      <c r="B336" s="13"/>
      <c r="C336" s="13"/>
      <c r="D336" s="13"/>
    </row>
    <row r="337" spans="1:4" ht="13">
      <c r="A337" s="14"/>
      <c r="B337" s="13"/>
      <c r="C337" s="13"/>
      <c r="D337" s="13"/>
    </row>
    <row r="338" spans="1:4" ht="13">
      <c r="A338" s="14"/>
      <c r="B338" s="13"/>
      <c r="C338" s="13"/>
      <c r="D338" s="13"/>
    </row>
    <row r="339" spans="1:4" ht="13">
      <c r="A339" s="14"/>
      <c r="B339" s="13"/>
      <c r="C339" s="13"/>
      <c r="D339" s="13"/>
    </row>
    <row r="340" spans="1:4" ht="13">
      <c r="A340" s="14"/>
      <c r="B340" s="13"/>
      <c r="C340" s="13"/>
      <c r="D340" s="13"/>
    </row>
    <row r="341" spans="1:4" ht="13">
      <c r="A341" s="14"/>
      <c r="B341" s="13"/>
      <c r="C341" s="13"/>
      <c r="D341" s="13"/>
    </row>
    <row r="342" spans="1:4" ht="13">
      <c r="A342" s="14"/>
      <c r="B342" s="13"/>
      <c r="C342" s="13"/>
      <c r="D342" s="13"/>
    </row>
    <row r="343" spans="1:4" ht="13">
      <c r="A343" s="14"/>
      <c r="B343" s="13"/>
      <c r="C343" s="13"/>
      <c r="D343" s="13"/>
    </row>
    <row r="344" spans="1:4" ht="13">
      <c r="A344" s="14"/>
      <c r="B344" s="13"/>
      <c r="C344" s="13"/>
      <c r="D344" s="13"/>
    </row>
    <row r="345" spans="1:4" ht="13">
      <c r="A345" s="14"/>
      <c r="B345" s="13"/>
      <c r="C345" s="13"/>
      <c r="D345" s="13"/>
    </row>
    <row r="346" spans="1:4" ht="13">
      <c r="A346" s="14"/>
      <c r="B346" s="13"/>
      <c r="C346" s="13"/>
      <c r="D346" s="13"/>
    </row>
    <row r="347" spans="1:4" ht="13">
      <c r="A347" s="14"/>
      <c r="B347" s="13"/>
      <c r="C347" s="13"/>
      <c r="D347" s="13"/>
    </row>
    <row r="348" spans="1:4" ht="13">
      <c r="A348" s="14"/>
      <c r="B348" s="13"/>
      <c r="C348" s="13"/>
      <c r="D348" s="13"/>
    </row>
    <row r="349" spans="1:4" ht="13">
      <c r="A349" s="14"/>
      <c r="B349" s="13"/>
      <c r="C349" s="13"/>
      <c r="D349" s="13"/>
    </row>
    <row r="350" spans="1:4" ht="13">
      <c r="A350" s="14"/>
      <c r="B350" s="13"/>
      <c r="C350" s="13"/>
      <c r="D350" s="13"/>
    </row>
    <row r="351" spans="1:4" ht="13">
      <c r="A351" s="14"/>
      <c r="B351" s="13"/>
      <c r="C351" s="13"/>
      <c r="D351" s="13"/>
    </row>
    <row r="352" spans="1:4" ht="13">
      <c r="A352" s="14"/>
      <c r="B352" s="13"/>
      <c r="C352" s="13"/>
      <c r="D352" s="13"/>
    </row>
    <row r="353" spans="1:4" ht="13">
      <c r="A353" s="14"/>
      <c r="B353" s="13"/>
      <c r="C353" s="13"/>
      <c r="D353" s="13"/>
    </row>
    <row r="354" spans="1:4" ht="13">
      <c r="A354" s="14"/>
      <c r="B354" s="13"/>
      <c r="C354" s="13"/>
      <c r="D354" s="13"/>
    </row>
    <row r="355" spans="1:4" ht="13">
      <c r="A355" s="14"/>
      <c r="B355" s="13"/>
      <c r="C355" s="13"/>
      <c r="D355" s="13"/>
    </row>
    <row r="356" spans="1:4" ht="13">
      <c r="A356" s="14"/>
      <c r="B356" s="13"/>
      <c r="C356" s="13"/>
      <c r="D356" s="13"/>
    </row>
    <row r="357" spans="1:4" ht="13">
      <c r="A357" s="14"/>
      <c r="B357" s="13"/>
      <c r="C357" s="13"/>
      <c r="D357" s="13"/>
    </row>
    <row r="358" spans="1:4" ht="13">
      <c r="A358" s="14"/>
      <c r="B358" s="13"/>
      <c r="C358" s="13"/>
      <c r="D358" s="13"/>
    </row>
    <row r="359" spans="1:4" ht="13">
      <c r="A359" s="14"/>
      <c r="B359" s="13"/>
      <c r="C359" s="13"/>
      <c r="D359" s="13"/>
    </row>
    <row r="360" spans="1:4" ht="13">
      <c r="A360" s="14"/>
      <c r="B360" s="13"/>
      <c r="C360" s="13"/>
      <c r="D360" s="13"/>
    </row>
    <row r="361" spans="1:4" ht="13">
      <c r="A361" s="14"/>
      <c r="B361" s="13"/>
      <c r="C361" s="13"/>
      <c r="D361" s="13"/>
    </row>
    <row r="362" spans="1:4" ht="13">
      <c r="A362" s="14"/>
      <c r="B362" s="13"/>
      <c r="C362" s="13"/>
      <c r="D362" s="13"/>
    </row>
    <row r="363" spans="1:4" ht="13">
      <c r="A363" s="14"/>
      <c r="B363" s="13"/>
      <c r="C363" s="13"/>
      <c r="D363" s="13"/>
    </row>
    <row r="364" spans="1:4" ht="13">
      <c r="A364" s="14"/>
      <c r="B364" s="13"/>
      <c r="C364" s="13"/>
      <c r="D364" s="13"/>
    </row>
    <row r="365" spans="1:4" ht="13">
      <c r="A365" s="14"/>
      <c r="B365" s="13"/>
      <c r="C365" s="13"/>
      <c r="D365" s="13"/>
    </row>
    <row r="366" spans="1:4" ht="13">
      <c r="A366" s="14"/>
      <c r="B366" s="13"/>
      <c r="C366" s="13"/>
      <c r="D366" s="13"/>
    </row>
    <row r="367" spans="1:4" ht="13">
      <c r="A367" s="14"/>
      <c r="B367" s="13"/>
      <c r="C367" s="13"/>
      <c r="D367" s="13"/>
    </row>
    <row r="368" spans="1:4" ht="13">
      <c r="A368" s="14"/>
      <c r="B368" s="13"/>
      <c r="C368" s="13"/>
      <c r="D368" s="13"/>
    </row>
    <row r="369" spans="1:4" ht="13">
      <c r="A369" s="14"/>
      <c r="B369" s="13"/>
      <c r="C369" s="13"/>
      <c r="D369" s="13"/>
    </row>
    <row r="370" spans="1:4" ht="13">
      <c r="A370" s="14"/>
      <c r="B370" s="13"/>
      <c r="C370" s="13"/>
      <c r="D370" s="13"/>
    </row>
    <row r="371" spans="1:4" ht="13">
      <c r="A371" s="14"/>
      <c r="B371" s="13"/>
      <c r="C371" s="13"/>
      <c r="D371" s="13"/>
    </row>
    <row r="372" spans="1:4" ht="13">
      <c r="A372" s="14"/>
      <c r="B372" s="13"/>
      <c r="C372" s="13"/>
      <c r="D372" s="13"/>
    </row>
    <row r="373" spans="1:4" ht="13">
      <c r="A373" s="14"/>
      <c r="B373" s="13"/>
      <c r="C373" s="13"/>
      <c r="D373" s="13"/>
    </row>
    <row r="374" spans="1:4" ht="13">
      <c r="A374" s="14"/>
      <c r="B374" s="13"/>
      <c r="C374" s="13"/>
      <c r="D374" s="13"/>
    </row>
    <row r="375" spans="1:4" ht="13">
      <c r="A375" s="14"/>
      <c r="B375" s="13"/>
      <c r="C375" s="13"/>
      <c r="D375" s="13"/>
    </row>
    <row r="376" spans="1:4" ht="13">
      <c r="A376" s="14"/>
      <c r="B376" s="13"/>
      <c r="C376" s="13"/>
      <c r="D376" s="13"/>
    </row>
    <row r="377" spans="1:4" ht="13">
      <c r="A377" s="14"/>
      <c r="B377" s="13"/>
      <c r="C377" s="13"/>
      <c r="D377" s="13"/>
    </row>
    <row r="378" spans="1:4" ht="13">
      <c r="A378" s="14"/>
      <c r="B378" s="13"/>
      <c r="C378" s="13"/>
      <c r="D378" s="13"/>
    </row>
    <row r="379" spans="1:4" ht="13">
      <c r="A379" s="14"/>
      <c r="B379" s="13"/>
      <c r="C379" s="13"/>
      <c r="D379" s="13"/>
    </row>
    <row r="380" spans="1:4" ht="13">
      <c r="A380" s="14"/>
      <c r="B380" s="13"/>
      <c r="C380" s="13"/>
      <c r="D380" s="13"/>
    </row>
    <row r="381" spans="1:4" ht="13">
      <c r="A381" s="14"/>
      <c r="B381" s="13"/>
      <c r="C381" s="13"/>
      <c r="D381" s="13"/>
    </row>
    <row r="382" spans="1:4" ht="13">
      <c r="A382" s="14"/>
      <c r="B382" s="13"/>
      <c r="C382" s="13"/>
      <c r="D382" s="13"/>
    </row>
    <row r="383" spans="1:4" ht="13">
      <c r="A383" s="14"/>
      <c r="B383" s="13"/>
      <c r="C383" s="13"/>
      <c r="D383" s="13"/>
    </row>
    <row r="384" spans="1:4" ht="13">
      <c r="A384" s="14"/>
      <c r="B384" s="13"/>
      <c r="C384" s="13"/>
      <c r="D384" s="13"/>
    </row>
    <row r="385" spans="1:4" ht="13">
      <c r="A385" s="14"/>
      <c r="B385" s="13"/>
      <c r="C385" s="13"/>
      <c r="D385" s="13"/>
    </row>
    <row r="386" spans="1:4" ht="13">
      <c r="A386" s="14"/>
      <c r="B386" s="13"/>
      <c r="C386" s="13"/>
      <c r="D386" s="13"/>
    </row>
    <row r="387" spans="1:4" ht="13">
      <c r="A387" s="14"/>
      <c r="B387" s="13"/>
      <c r="C387" s="13"/>
      <c r="D387" s="13"/>
    </row>
    <row r="388" spans="1:4" ht="13">
      <c r="A388" s="14"/>
      <c r="B388" s="13"/>
      <c r="C388" s="13"/>
      <c r="D388" s="13"/>
    </row>
    <row r="389" spans="1:4" ht="13">
      <c r="A389" s="14"/>
      <c r="B389" s="13"/>
      <c r="C389" s="13"/>
      <c r="D389" s="13"/>
    </row>
    <row r="390" spans="1:4" ht="13">
      <c r="A390" s="14"/>
      <c r="B390" s="13"/>
      <c r="C390" s="13"/>
      <c r="D390" s="13"/>
    </row>
    <row r="391" spans="1:4" ht="13">
      <c r="A391" s="14"/>
      <c r="B391" s="13"/>
      <c r="C391" s="13"/>
      <c r="D391" s="13"/>
    </row>
    <row r="392" spans="1:4" ht="13">
      <c r="A392" s="14"/>
      <c r="B392" s="13"/>
      <c r="C392" s="13"/>
      <c r="D392" s="13"/>
    </row>
    <row r="393" spans="1:4" ht="13">
      <c r="A393" s="14"/>
      <c r="B393" s="13"/>
      <c r="C393" s="13"/>
      <c r="D393" s="13"/>
    </row>
    <row r="394" spans="1:4" ht="13">
      <c r="A394" s="14"/>
      <c r="B394" s="13"/>
      <c r="C394" s="13"/>
      <c r="D394" s="13"/>
    </row>
    <row r="395" spans="1:4" ht="13">
      <c r="A395" s="14"/>
      <c r="B395" s="13"/>
      <c r="C395" s="13"/>
      <c r="D395" s="13"/>
    </row>
    <row r="396" spans="1:4" ht="13">
      <c r="A396" s="14"/>
      <c r="B396" s="13"/>
      <c r="C396" s="13"/>
      <c r="D396" s="13"/>
    </row>
    <row r="397" spans="1:4" ht="13">
      <c r="A397" s="14"/>
      <c r="B397" s="13"/>
      <c r="C397" s="13"/>
      <c r="D397" s="13"/>
    </row>
    <row r="398" spans="1:4" ht="13">
      <c r="A398" s="14"/>
      <c r="B398" s="13"/>
      <c r="C398" s="13"/>
      <c r="D398" s="13"/>
    </row>
    <row r="399" spans="1:4" ht="13">
      <c r="A399" s="14"/>
      <c r="B399" s="13"/>
      <c r="C399" s="13"/>
      <c r="D399" s="13"/>
    </row>
    <row r="400" spans="1:4" ht="13">
      <c r="A400" s="14"/>
      <c r="B400" s="13"/>
      <c r="C400" s="13"/>
      <c r="D400" s="13"/>
    </row>
    <row r="401" spans="1:4" ht="13">
      <c r="A401" s="14"/>
      <c r="B401" s="13"/>
      <c r="C401" s="13"/>
      <c r="D401" s="13"/>
    </row>
    <row r="402" spans="1:4" ht="13">
      <c r="A402" s="14"/>
      <c r="B402" s="13"/>
      <c r="C402" s="13"/>
      <c r="D402" s="13"/>
    </row>
    <row r="403" spans="1:4" ht="13">
      <c r="A403" s="14"/>
      <c r="B403" s="13"/>
      <c r="C403" s="13"/>
      <c r="D403" s="13"/>
    </row>
    <row r="404" spans="1:4" ht="13">
      <c r="A404" s="14"/>
      <c r="B404" s="13"/>
      <c r="C404" s="13"/>
      <c r="D404" s="13"/>
    </row>
    <row r="405" spans="1:4" ht="13">
      <c r="A405" s="14"/>
      <c r="B405" s="13"/>
      <c r="C405" s="13"/>
      <c r="D405" s="13"/>
    </row>
    <row r="406" spans="1:4" ht="13">
      <c r="A406" s="14"/>
      <c r="B406" s="13"/>
      <c r="C406" s="13"/>
      <c r="D406" s="13"/>
    </row>
    <row r="407" spans="1:4" ht="13">
      <c r="A407" s="14"/>
      <c r="B407" s="13"/>
      <c r="C407" s="13"/>
      <c r="D407" s="13"/>
    </row>
    <row r="408" spans="1:4" ht="13">
      <c r="A408" s="14"/>
      <c r="B408" s="13"/>
      <c r="C408" s="13"/>
      <c r="D408" s="13"/>
    </row>
    <row r="409" spans="1:4" ht="13">
      <c r="A409" s="14"/>
      <c r="B409" s="13"/>
      <c r="C409" s="13"/>
      <c r="D409" s="13"/>
    </row>
    <row r="410" spans="1:4" ht="13">
      <c r="A410" s="14"/>
      <c r="B410" s="13"/>
      <c r="C410" s="13"/>
      <c r="D410" s="13"/>
    </row>
    <row r="411" spans="1:4" ht="13">
      <c r="A411" s="14"/>
      <c r="B411" s="13"/>
      <c r="C411" s="13"/>
      <c r="D411" s="13"/>
    </row>
    <row r="412" spans="1:4" ht="13">
      <c r="A412" s="14"/>
      <c r="B412" s="13"/>
      <c r="C412" s="13"/>
      <c r="D412" s="13"/>
    </row>
    <row r="413" spans="1:4" ht="13">
      <c r="A413" s="14"/>
      <c r="B413" s="13"/>
      <c r="C413" s="13"/>
      <c r="D413" s="13"/>
    </row>
    <row r="414" spans="1:4" ht="13">
      <c r="A414" s="14"/>
      <c r="B414" s="13"/>
      <c r="C414" s="13"/>
      <c r="D414" s="13"/>
    </row>
    <row r="415" spans="1:4" ht="13">
      <c r="A415" s="14"/>
      <c r="B415" s="13"/>
      <c r="C415" s="13"/>
      <c r="D415" s="13"/>
    </row>
    <row r="416" spans="1:4" ht="13">
      <c r="A416" s="14"/>
      <c r="B416" s="13"/>
      <c r="C416" s="13"/>
      <c r="D416" s="13"/>
    </row>
    <row r="417" spans="1:4" ht="13">
      <c r="A417" s="14"/>
      <c r="B417" s="13"/>
      <c r="C417" s="13"/>
      <c r="D417" s="13"/>
    </row>
    <row r="418" spans="1:4" ht="13">
      <c r="A418" s="14"/>
      <c r="B418" s="13"/>
      <c r="C418" s="13"/>
      <c r="D418" s="13"/>
    </row>
    <row r="419" spans="1:4" ht="13">
      <c r="A419" s="14"/>
      <c r="B419" s="13"/>
      <c r="C419" s="13"/>
      <c r="D419" s="13"/>
    </row>
    <row r="420" spans="1:4" ht="13">
      <c r="A420" s="14"/>
      <c r="B420" s="13"/>
      <c r="C420" s="13"/>
      <c r="D420" s="13"/>
    </row>
    <row r="421" spans="1:4" ht="13">
      <c r="A421" s="14"/>
      <c r="B421" s="13"/>
      <c r="C421" s="13"/>
      <c r="D421" s="13"/>
    </row>
    <row r="422" spans="1:4" ht="13">
      <c r="A422" s="14"/>
      <c r="B422" s="13"/>
      <c r="C422" s="13"/>
      <c r="D422" s="13"/>
    </row>
    <row r="423" spans="1:4" ht="13">
      <c r="A423" s="14"/>
      <c r="B423" s="13"/>
      <c r="C423" s="13"/>
      <c r="D423" s="13"/>
    </row>
    <row r="424" spans="1:4" ht="13">
      <c r="A424" s="14"/>
      <c r="B424" s="13"/>
      <c r="C424" s="13"/>
      <c r="D424" s="13"/>
    </row>
    <row r="425" spans="1:4" ht="13">
      <c r="A425" s="14"/>
      <c r="B425" s="13"/>
      <c r="C425" s="13"/>
      <c r="D425" s="13"/>
    </row>
    <row r="426" spans="1:4" ht="13">
      <c r="A426" s="14"/>
      <c r="B426" s="13"/>
      <c r="C426" s="13"/>
      <c r="D426" s="13"/>
    </row>
    <row r="427" spans="1:4" ht="13">
      <c r="A427" s="14"/>
      <c r="B427" s="13"/>
      <c r="C427" s="13"/>
      <c r="D427" s="13"/>
    </row>
    <row r="428" spans="1:4" ht="13">
      <c r="A428" s="14"/>
      <c r="B428" s="13"/>
      <c r="C428" s="13"/>
      <c r="D428" s="13"/>
    </row>
    <row r="429" spans="1:4" ht="13">
      <c r="A429" s="14"/>
      <c r="B429" s="13"/>
      <c r="C429" s="13"/>
      <c r="D429" s="13"/>
    </row>
    <row r="430" spans="1:4" ht="13">
      <c r="A430" s="14"/>
      <c r="B430" s="13"/>
      <c r="C430" s="13"/>
      <c r="D430" s="13"/>
    </row>
    <row r="431" spans="1:4" ht="13">
      <c r="A431" s="14"/>
      <c r="B431" s="13"/>
      <c r="C431" s="13"/>
      <c r="D431" s="13"/>
    </row>
    <row r="432" spans="1:4" ht="13">
      <c r="A432" s="14"/>
      <c r="B432" s="13"/>
      <c r="C432" s="13"/>
      <c r="D432" s="13"/>
    </row>
    <row r="433" spans="1:4" ht="13">
      <c r="A433" s="14"/>
      <c r="B433" s="13"/>
      <c r="C433" s="13"/>
      <c r="D433" s="13"/>
    </row>
    <row r="434" spans="1:4" ht="13">
      <c r="A434" s="14"/>
      <c r="B434" s="13"/>
      <c r="C434" s="13"/>
      <c r="D434" s="13"/>
    </row>
    <row r="435" spans="1:4" ht="13">
      <c r="A435" s="14"/>
      <c r="B435" s="13"/>
      <c r="C435" s="13"/>
      <c r="D435" s="13"/>
    </row>
    <row r="436" spans="1:4" ht="13">
      <c r="A436" s="14"/>
      <c r="B436" s="13"/>
      <c r="C436" s="13"/>
      <c r="D436" s="13"/>
    </row>
    <row r="437" spans="1:4" ht="13">
      <c r="A437" s="14"/>
      <c r="B437" s="13"/>
      <c r="C437" s="13"/>
      <c r="D437" s="13"/>
    </row>
    <row r="438" spans="1:4" ht="13">
      <c r="A438" s="14"/>
      <c r="B438" s="13"/>
      <c r="C438" s="13"/>
      <c r="D438" s="13"/>
    </row>
    <row r="439" spans="1:4" ht="13">
      <c r="A439" s="14"/>
      <c r="B439" s="13"/>
      <c r="C439" s="13"/>
      <c r="D439" s="13"/>
    </row>
    <row r="440" spans="1:4" ht="13">
      <c r="A440" s="14"/>
      <c r="B440" s="13"/>
      <c r="C440" s="13"/>
      <c r="D440" s="13"/>
    </row>
    <row r="441" spans="1:4" ht="13">
      <c r="A441" s="14"/>
      <c r="B441" s="13"/>
      <c r="C441" s="13"/>
      <c r="D441" s="13"/>
    </row>
    <row r="442" spans="1:4" ht="13">
      <c r="A442" s="14"/>
      <c r="B442" s="13"/>
      <c r="C442" s="13"/>
      <c r="D442" s="13"/>
    </row>
    <row r="443" spans="1:4" ht="13">
      <c r="A443" s="14"/>
      <c r="B443" s="13"/>
      <c r="C443" s="13"/>
      <c r="D443" s="13"/>
    </row>
    <row r="444" spans="1:4" ht="13">
      <c r="A444" s="14"/>
      <c r="B444" s="13"/>
      <c r="C444" s="13"/>
      <c r="D444" s="13"/>
    </row>
    <row r="445" spans="1:4" ht="13">
      <c r="A445" s="14"/>
      <c r="B445" s="13"/>
      <c r="C445" s="13"/>
      <c r="D445" s="13"/>
    </row>
    <row r="446" spans="1:4" ht="13">
      <c r="A446" s="14"/>
      <c r="B446" s="13"/>
      <c r="C446" s="13"/>
      <c r="D446" s="13"/>
    </row>
    <row r="447" spans="1:4" ht="13">
      <c r="A447" s="14"/>
      <c r="B447" s="13"/>
      <c r="C447" s="13"/>
      <c r="D447" s="13"/>
    </row>
    <row r="448" spans="1:4" ht="13">
      <c r="A448" s="14"/>
      <c r="B448" s="13"/>
      <c r="C448" s="13"/>
      <c r="D448" s="13"/>
    </row>
    <row r="449" spans="1:4" ht="13">
      <c r="A449" s="14"/>
      <c r="B449" s="13"/>
      <c r="C449" s="13"/>
      <c r="D449" s="13"/>
    </row>
    <row r="450" spans="1:4" ht="13">
      <c r="A450" s="14"/>
      <c r="B450" s="13"/>
      <c r="C450" s="13"/>
      <c r="D450" s="13"/>
    </row>
    <row r="451" spans="1:4" ht="13">
      <c r="A451" s="14"/>
      <c r="B451" s="13"/>
      <c r="C451" s="13"/>
      <c r="D451" s="13"/>
    </row>
    <row r="452" spans="1:4" ht="13">
      <c r="A452" s="14"/>
      <c r="B452" s="13"/>
      <c r="C452" s="13"/>
      <c r="D452" s="13"/>
    </row>
    <row r="453" spans="1:4" ht="13">
      <c r="A453" s="14"/>
      <c r="B453" s="13"/>
      <c r="C453" s="13"/>
      <c r="D453" s="13"/>
    </row>
    <row r="454" spans="1:4" ht="13">
      <c r="A454" s="14"/>
      <c r="B454" s="13"/>
      <c r="C454" s="13"/>
      <c r="D454" s="13"/>
    </row>
    <row r="455" spans="1:4" ht="13">
      <c r="A455" s="14"/>
      <c r="B455" s="13"/>
      <c r="C455" s="13"/>
      <c r="D455" s="13"/>
    </row>
    <row r="456" spans="1:4" ht="13">
      <c r="A456" s="14"/>
      <c r="B456" s="13"/>
      <c r="C456" s="13"/>
      <c r="D456" s="13"/>
    </row>
    <row r="457" spans="1:4" ht="13">
      <c r="A457" s="14"/>
      <c r="B457" s="13"/>
      <c r="C457" s="13"/>
      <c r="D457" s="13"/>
    </row>
    <row r="458" spans="1:4" ht="13">
      <c r="A458" s="14"/>
      <c r="B458" s="13"/>
      <c r="C458" s="13"/>
      <c r="D458" s="13"/>
    </row>
    <row r="459" spans="1:4" ht="13">
      <c r="A459" s="14"/>
      <c r="B459" s="13"/>
      <c r="C459" s="13"/>
      <c r="D459" s="13"/>
    </row>
    <row r="460" spans="1:4" ht="13">
      <c r="A460" s="14"/>
      <c r="B460" s="13"/>
      <c r="C460" s="13"/>
      <c r="D460" s="13"/>
    </row>
    <row r="461" spans="1:4" ht="13">
      <c r="A461" s="14"/>
      <c r="B461" s="13"/>
      <c r="C461" s="13"/>
      <c r="D461" s="13"/>
    </row>
    <row r="462" spans="1:4" ht="13">
      <c r="A462" s="14"/>
      <c r="B462" s="13"/>
      <c r="C462" s="13"/>
      <c r="D462" s="13"/>
    </row>
    <row r="463" spans="1:4" ht="13">
      <c r="A463" s="14"/>
      <c r="B463" s="13"/>
      <c r="C463" s="13"/>
      <c r="D463" s="13"/>
    </row>
    <row r="464" spans="1:4" ht="13">
      <c r="A464" s="14"/>
      <c r="B464" s="13"/>
      <c r="C464" s="13"/>
      <c r="D464" s="13"/>
    </row>
    <row r="465" spans="1:4" ht="13">
      <c r="A465" s="14"/>
      <c r="B465" s="13"/>
      <c r="C465" s="13"/>
      <c r="D465" s="13"/>
    </row>
    <row r="466" spans="1:4" ht="13">
      <c r="A466" s="14"/>
      <c r="B466" s="13"/>
      <c r="C466" s="13"/>
      <c r="D466" s="13"/>
    </row>
    <row r="467" spans="1:4" ht="13">
      <c r="A467" s="14"/>
      <c r="B467" s="13"/>
      <c r="C467" s="13"/>
      <c r="D467" s="13"/>
    </row>
    <row r="468" spans="1:4" ht="13">
      <c r="A468" s="14"/>
      <c r="B468" s="13"/>
      <c r="C468" s="13"/>
      <c r="D468" s="13"/>
    </row>
    <row r="469" spans="1:4" ht="13">
      <c r="A469" s="14"/>
      <c r="B469" s="13"/>
      <c r="C469" s="13"/>
      <c r="D469" s="13"/>
    </row>
    <row r="470" spans="1:4" ht="13">
      <c r="A470" s="14"/>
      <c r="B470" s="13"/>
      <c r="C470" s="13"/>
      <c r="D470" s="13"/>
    </row>
    <row r="471" spans="1:4" ht="13">
      <c r="A471" s="14"/>
      <c r="B471" s="13"/>
      <c r="C471" s="13"/>
      <c r="D471" s="13"/>
    </row>
    <row r="472" spans="1:4" ht="13">
      <c r="A472" s="14"/>
      <c r="B472" s="13"/>
      <c r="C472" s="13"/>
      <c r="D472" s="13"/>
    </row>
    <row r="473" spans="1:4" ht="13">
      <c r="A473" s="14"/>
      <c r="B473" s="13"/>
      <c r="C473" s="13"/>
      <c r="D473" s="13"/>
    </row>
    <row r="474" spans="1:4" ht="13">
      <c r="A474" s="14"/>
      <c r="B474" s="13"/>
      <c r="C474" s="13"/>
      <c r="D474" s="13"/>
    </row>
    <row r="475" spans="1:4" ht="13">
      <c r="A475" s="14"/>
      <c r="B475" s="13"/>
      <c r="C475" s="13"/>
      <c r="D475" s="13"/>
    </row>
    <row r="476" spans="1:4" ht="13">
      <c r="A476" s="14"/>
      <c r="B476" s="13"/>
      <c r="C476" s="13"/>
      <c r="D476" s="13"/>
    </row>
    <row r="477" spans="1:4" ht="13">
      <c r="A477" s="14"/>
      <c r="B477" s="13"/>
      <c r="C477" s="13"/>
      <c r="D477" s="13"/>
    </row>
    <row r="478" spans="1:4" ht="13">
      <c r="A478" s="14"/>
      <c r="B478" s="13"/>
      <c r="C478" s="13"/>
      <c r="D478" s="13"/>
    </row>
    <row r="479" spans="1:4" ht="13">
      <c r="A479" s="14"/>
      <c r="B479" s="13"/>
      <c r="C479" s="13"/>
      <c r="D479" s="13"/>
    </row>
    <row r="480" spans="1:4" ht="13">
      <c r="A480" s="14"/>
      <c r="B480" s="13"/>
      <c r="C480" s="13"/>
      <c r="D480" s="13"/>
    </row>
    <row r="481" spans="1:4" ht="13">
      <c r="A481" s="14"/>
      <c r="B481" s="13"/>
      <c r="C481" s="13"/>
      <c r="D481" s="13"/>
    </row>
    <row r="482" spans="1:4" ht="13">
      <c r="A482" s="14"/>
      <c r="B482" s="13"/>
      <c r="C482" s="13"/>
      <c r="D482" s="13"/>
    </row>
    <row r="483" spans="1:4" ht="13">
      <c r="A483" s="14"/>
      <c r="B483" s="13"/>
      <c r="C483" s="13"/>
      <c r="D483" s="13"/>
    </row>
    <row r="484" spans="1:4" ht="13">
      <c r="A484" s="14"/>
      <c r="B484" s="13"/>
      <c r="C484" s="13"/>
      <c r="D484" s="13"/>
    </row>
    <row r="485" spans="1:4" ht="13">
      <c r="A485" s="14"/>
      <c r="B485" s="13"/>
      <c r="C485" s="13"/>
      <c r="D485" s="13"/>
    </row>
    <row r="486" spans="1:4" ht="13">
      <c r="A486" s="14"/>
      <c r="B486" s="13"/>
      <c r="C486" s="13"/>
      <c r="D486" s="13"/>
    </row>
    <row r="487" spans="1:4" ht="13">
      <c r="A487" s="14"/>
      <c r="B487" s="13"/>
      <c r="C487" s="13"/>
      <c r="D487" s="13"/>
    </row>
    <row r="488" spans="1:4" ht="13">
      <c r="A488" s="14"/>
      <c r="B488" s="13"/>
      <c r="C488" s="13"/>
      <c r="D488" s="13"/>
    </row>
    <row r="489" spans="1:4" ht="13">
      <c r="A489" s="14"/>
      <c r="B489" s="13"/>
      <c r="C489" s="13"/>
      <c r="D489" s="13"/>
    </row>
    <row r="490" spans="1:4" ht="13">
      <c r="A490" s="14"/>
      <c r="B490" s="13"/>
      <c r="C490" s="13"/>
      <c r="D490" s="13"/>
    </row>
    <row r="491" spans="1:4" ht="13">
      <c r="A491" s="14"/>
      <c r="B491" s="13"/>
      <c r="C491" s="13"/>
      <c r="D491" s="13"/>
    </row>
    <row r="492" spans="1:4" ht="13">
      <c r="A492" s="14"/>
      <c r="B492" s="13"/>
      <c r="C492" s="13"/>
      <c r="D492" s="13"/>
    </row>
    <row r="493" spans="1:4" ht="13">
      <c r="A493" s="14"/>
      <c r="B493" s="13"/>
      <c r="C493" s="13"/>
      <c r="D493" s="13"/>
    </row>
    <row r="494" spans="1:4" ht="13">
      <c r="A494" s="14"/>
      <c r="B494" s="13"/>
      <c r="C494" s="13"/>
      <c r="D494" s="13"/>
    </row>
    <row r="495" spans="1:4" ht="13">
      <c r="A495" s="14"/>
      <c r="B495" s="13"/>
      <c r="C495" s="13"/>
      <c r="D495" s="13"/>
    </row>
    <row r="496" spans="1:4" ht="13">
      <c r="A496" s="14"/>
      <c r="B496" s="13"/>
      <c r="C496" s="13"/>
      <c r="D496" s="13"/>
    </row>
    <row r="497" spans="1:4" ht="13">
      <c r="A497" s="14"/>
      <c r="B497" s="13"/>
      <c r="C497" s="13"/>
      <c r="D497" s="13"/>
    </row>
    <row r="498" spans="1:4" ht="13">
      <c r="A498" s="14"/>
      <c r="B498" s="13"/>
      <c r="C498" s="13"/>
      <c r="D498" s="13"/>
    </row>
    <row r="499" spans="1:4" ht="13">
      <c r="A499" s="14"/>
      <c r="B499" s="13"/>
      <c r="C499" s="13"/>
      <c r="D499" s="13"/>
    </row>
    <row r="500" spans="1:4" ht="13">
      <c r="A500" s="14"/>
      <c r="B500" s="13"/>
      <c r="C500" s="13"/>
      <c r="D500" s="13"/>
    </row>
    <row r="501" spans="1:4" ht="13">
      <c r="A501" s="14"/>
      <c r="B501" s="13"/>
      <c r="C501" s="13"/>
      <c r="D501" s="13"/>
    </row>
    <row r="502" spans="1:4" ht="13">
      <c r="A502" s="14"/>
      <c r="B502" s="13"/>
      <c r="C502" s="13"/>
      <c r="D502" s="13"/>
    </row>
    <row r="503" spans="1:4" ht="13">
      <c r="A503" s="14"/>
      <c r="B503" s="13"/>
      <c r="C503" s="13"/>
      <c r="D503" s="13"/>
    </row>
    <row r="504" spans="1:4" ht="13">
      <c r="A504" s="14"/>
      <c r="B504" s="13"/>
      <c r="C504" s="13"/>
      <c r="D504" s="13"/>
    </row>
    <row r="505" spans="1:4" ht="13">
      <c r="A505" s="14"/>
      <c r="B505" s="13"/>
      <c r="C505" s="13"/>
      <c r="D505" s="13"/>
    </row>
    <row r="506" spans="1:4" ht="13">
      <c r="A506" s="14"/>
      <c r="B506" s="13"/>
      <c r="C506" s="13"/>
      <c r="D506" s="13"/>
    </row>
    <row r="507" spans="1:4" ht="13">
      <c r="A507" s="14"/>
      <c r="B507" s="13"/>
      <c r="C507" s="13"/>
      <c r="D507" s="13"/>
    </row>
    <row r="508" spans="1:4" ht="13">
      <c r="A508" s="14"/>
      <c r="B508" s="13"/>
      <c r="C508" s="13"/>
      <c r="D508" s="13"/>
    </row>
    <row r="509" spans="1:4" ht="13">
      <c r="A509" s="14"/>
      <c r="B509" s="13"/>
      <c r="C509" s="13"/>
      <c r="D509" s="13"/>
    </row>
    <row r="510" spans="1:4" ht="13">
      <c r="A510" s="14"/>
      <c r="B510" s="13"/>
      <c r="C510" s="13"/>
      <c r="D510" s="13"/>
    </row>
    <row r="511" spans="1:4" ht="13">
      <c r="A511" s="14"/>
      <c r="B511" s="13"/>
      <c r="C511" s="13"/>
      <c r="D511" s="13"/>
    </row>
    <row r="512" spans="1:4" ht="13">
      <c r="A512" s="14"/>
      <c r="B512" s="13"/>
      <c r="C512" s="13"/>
      <c r="D512" s="13"/>
    </row>
    <row r="513" spans="1:4" ht="13">
      <c r="A513" s="14"/>
      <c r="B513" s="13"/>
      <c r="C513" s="13"/>
      <c r="D513" s="13"/>
    </row>
    <row r="514" spans="1:4" ht="13">
      <c r="A514" s="14"/>
      <c r="B514" s="13"/>
      <c r="C514" s="13"/>
      <c r="D514" s="13"/>
    </row>
    <row r="515" spans="1:4" ht="13">
      <c r="A515" s="14"/>
      <c r="B515" s="13"/>
      <c r="C515" s="13"/>
      <c r="D515" s="13"/>
    </row>
    <row r="516" spans="1:4" ht="13">
      <c r="A516" s="14"/>
      <c r="B516" s="13"/>
      <c r="C516" s="13"/>
      <c r="D516" s="13"/>
    </row>
    <row r="517" spans="1:4" ht="13">
      <c r="A517" s="14"/>
      <c r="B517" s="13"/>
      <c r="C517" s="13"/>
      <c r="D517" s="13"/>
    </row>
    <row r="518" spans="1:4" ht="13">
      <c r="A518" s="14"/>
      <c r="B518" s="13"/>
      <c r="C518" s="13"/>
      <c r="D518" s="13"/>
    </row>
    <row r="519" spans="1:4" ht="13">
      <c r="A519" s="14"/>
      <c r="B519" s="13"/>
      <c r="C519" s="13"/>
      <c r="D519" s="13"/>
    </row>
    <row r="520" spans="1:4" ht="13">
      <c r="A520" s="14"/>
      <c r="B520" s="13"/>
      <c r="C520" s="13"/>
      <c r="D520" s="13"/>
    </row>
    <row r="521" spans="1:4" ht="13">
      <c r="A521" s="14"/>
      <c r="B521" s="13"/>
      <c r="C521" s="13"/>
      <c r="D521" s="13"/>
    </row>
    <row r="522" spans="1:4" ht="13">
      <c r="A522" s="14"/>
      <c r="B522" s="13"/>
      <c r="C522" s="13"/>
      <c r="D522" s="13"/>
    </row>
    <row r="523" spans="1:4" ht="13">
      <c r="A523" s="14"/>
      <c r="B523" s="13"/>
      <c r="C523" s="13"/>
      <c r="D523" s="13"/>
    </row>
    <row r="524" spans="1:4" ht="13">
      <c r="A524" s="14"/>
      <c r="B524" s="13"/>
      <c r="C524" s="13"/>
      <c r="D524" s="13"/>
    </row>
    <row r="525" spans="1:4" ht="13">
      <c r="A525" s="14"/>
      <c r="B525" s="13"/>
      <c r="C525" s="13"/>
      <c r="D525" s="13"/>
    </row>
    <row r="526" spans="1:4" ht="13">
      <c r="A526" s="14"/>
      <c r="B526" s="13"/>
      <c r="C526" s="13"/>
      <c r="D526" s="13"/>
    </row>
    <row r="527" spans="1:4" ht="13">
      <c r="A527" s="14"/>
      <c r="B527" s="13"/>
      <c r="C527" s="13"/>
      <c r="D527" s="13"/>
    </row>
    <row r="528" spans="1:4" ht="13">
      <c r="A528" s="14"/>
      <c r="B528" s="13"/>
      <c r="C528" s="13"/>
      <c r="D528" s="13"/>
    </row>
    <row r="529" spans="1:4" ht="13">
      <c r="A529" s="14"/>
      <c r="B529" s="13"/>
      <c r="C529" s="13"/>
      <c r="D529" s="13"/>
    </row>
    <row r="530" spans="1:4" ht="13">
      <c r="A530" s="14"/>
      <c r="B530" s="13"/>
      <c r="C530" s="13"/>
      <c r="D530" s="13"/>
    </row>
    <row r="531" spans="1:4" ht="13">
      <c r="A531" s="14"/>
      <c r="B531" s="13"/>
      <c r="C531" s="13"/>
      <c r="D531" s="13"/>
    </row>
    <row r="532" spans="1:4" ht="13">
      <c r="A532" s="14"/>
      <c r="B532" s="13"/>
      <c r="C532" s="13"/>
      <c r="D532" s="13"/>
    </row>
    <row r="533" spans="1:4" ht="13">
      <c r="A533" s="14"/>
      <c r="B533" s="13"/>
      <c r="C533" s="13"/>
      <c r="D533" s="13"/>
    </row>
    <row r="534" spans="1:4" ht="13">
      <c r="A534" s="14"/>
      <c r="B534" s="13"/>
      <c r="C534" s="13"/>
      <c r="D534" s="13"/>
    </row>
    <row r="535" spans="1:4" ht="13">
      <c r="A535" s="14"/>
      <c r="B535" s="13"/>
      <c r="C535" s="13"/>
      <c r="D535" s="13"/>
    </row>
    <row r="536" spans="1:4" ht="13">
      <c r="A536" s="14"/>
      <c r="B536" s="13"/>
      <c r="C536" s="13"/>
      <c r="D536" s="13"/>
    </row>
    <row r="537" spans="1:4" ht="13">
      <c r="A537" s="14"/>
      <c r="B537" s="13"/>
      <c r="C537" s="13"/>
      <c r="D537" s="13"/>
    </row>
    <row r="538" spans="1:4" ht="13">
      <c r="A538" s="14"/>
      <c r="B538" s="13"/>
      <c r="C538" s="13"/>
      <c r="D538" s="13"/>
    </row>
    <row r="539" spans="1:4" ht="13">
      <c r="A539" s="14"/>
      <c r="B539" s="13"/>
      <c r="C539" s="13"/>
      <c r="D539" s="13"/>
    </row>
    <row r="540" spans="1:4" ht="13">
      <c r="A540" s="14"/>
      <c r="B540" s="13"/>
      <c r="C540" s="13"/>
      <c r="D540" s="13"/>
    </row>
    <row r="541" spans="1:4" ht="13">
      <c r="A541" s="14"/>
      <c r="B541" s="13"/>
      <c r="C541" s="13"/>
      <c r="D541" s="13"/>
    </row>
    <row r="542" spans="1:4" ht="13">
      <c r="A542" s="14"/>
      <c r="B542" s="13"/>
      <c r="C542" s="13"/>
      <c r="D542" s="13"/>
    </row>
    <row r="543" spans="1:4" ht="13">
      <c r="A543" s="14"/>
      <c r="B543" s="13"/>
      <c r="C543" s="13"/>
      <c r="D543" s="13"/>
    </row>
    <row r="544" spans="1:4" ht="13">
      <c r="A544" s="14"/>
      <c r="B544" s="13"/>
      <c r="C544" s="13"/>
      <c r="D544" s="13"/>
    </row>
    <row r="545" spans="1:4" ht="13">
      <c r="A545" s="14"/>
      <c r="B545" s="13"/>
      <c r="C545" s="13"/>
      <c r="D545" s="13"/>
    </row>
    <row r="546" spans="1:4" ht="13">
      <c r="A546" s="14"/>
      <c r="B546" s="13"/>
      <c r="C546" s="13"/>
      <c r="D546" s="13"/>
    </row>
    <row r="547" spans="1:4" ht="13">
      <c r="A547" s="14"/>
      <c r="B547" s="13"/>
      <c r="C547" s="13"/>
      <c r="D547" s="13"/>
    </row>
    <row r="548" spans="1:4" ht="13">
      <c r="A548" s="14"/>
      <c r="B548" s="13"/>
      <c r="C548" s="13"/>
      <c r="D548" s="13"/>
    </row>
    <row r="549" spans="1:4" ht="13">
      <c r="A549" s="14"/>
      <c r="B549" s="13"/>
      <c r="C549" s="13"/>
      <c r="D549" s="13"/>
    </row>
    <row r="550" spans="1:4" ht="13">
      <c r="A550" s="14"/>
      <c r="B550" s="13"/>
      <c r="C550" s="13"/>
      <c r="D550" s="13"/>
    </row>
    <row r="551" spans="1:4" ht="13">
      <c r="A551" s="14"/>
      <c r="B551" s="13"/>
      <c r="C551" s="13"/>
      <c r="D551" s="13"/>
    </row>
    <row r="552" spans="1:4" ht="13">
      <c r="A552" s="14"/>
      <c r="B552" s="13"/>
      <c r="C552" s="13"/>
      <c r="D552" s="13"/>
    </row>
    <row r="553" spans="1:4" ht="13">
      <c r="A553" s="14"/>
      <c r="B553" s="13"/>
      <c r="C553" s="13"/>
      <c r="D553" s="13"/>
    </row>
    <row r="554" spans="1:4" ht="13">
      <c r="A554" s="14"/>
      <c r="B554" s="13"/>
      <c r="C554" s="13"/>
      <c r="D554" s="13"/>
    </row>
    <row r="555" spans="1:4" ht="13">
      <c r="A555" s="14"/>
      <c r="B555" s="13"/>
      <c r="C555" s="13"/>
      <c r="D555" s="13"/>
    </row>
    <row r="556" spans="1:4" ht="13">
      <c r="A556" s="14"/>
      <c r="B556" s="13"/>
      <c r="C556" s="13"/>
      <c r="D556" s="13"/>
    </row>
    <row r="557" spans="1:4" ht="13">
      <c r="A557" s="14"/>
      <c r="B557" s="13"/>
      <c r="C557" s="13"/>
      <c r="D557" s="13"/>
    </row>
    <row r="558" spans="1:4" ht="13">
      <c r="A558" s="14"/>
      <c r="B558" s="13"/>
      <c r="C558" s="13"/>
      <c r="D558" s="13"/>
    </row>
    <row r="559" spans="1:4" ht="13">
      <c r="A559" s="14"/>
      <c r="B559" s="13"/>
      <c r="C559" s="13"/>
      <c r="D559" s="13"/>
    </row>
    <row r="560" spans="1:4" ht="13">
      <c r="A560" s="14"/>
      <c r="B560" s="13"/>
      <c r="C560" s="13"/>
      <c r="D560" s="13"/>
    </row>
    <row r="561" spans="1:4" ht="13">
      <c r="A561" s="14"/>
      <c r="B561" s="13"/>
      <c r="C561" s="13"/>
      <c r="D561" s="13"/>
    </row>
    <row r="562" spans="1:4" ht="13">
      <c r="A562" s="14"/>
      <c r="B562" s="13"/>
      <c r="C562" s="13"/>
      <c r="D562" s="13"/>
    </row>
    <row r="563" spans="1:4" ht="13">
      <c r="A563" s="14"/>
      <c r="B563" s="13"/>
      <c r="C563" s="13"/>
      <c r="D563" s="13"/>
    </row>
    <row r="564" spans="1:4" ht="13">
      <c r="A564" s="14"/>
      <c r="B564" s="13"/>
      <c r="C564" s="13"/>
      <c r="D564" s="13"/>
    </row>
    <row r="565" spans="1:4" ht="13">
      <c r="A565" s="14"/>
      <c r="B565" s="13"/>
      <c r="C565" s="13"/>
      <c r="D565" s="13"/>
    </row>
    <row r="566" spans="1:4" ht="13">
      <c r="A566" s="14"/>
      <c r="B566" s="13"/>
      <c r="C566" s="13"/>
      <c r="D566" s="13"/>
    </row>
    <row r="567" spans="1:4" ht="13">
      <c r="A567" s="14"/>
      <c r="B567" s="13"/>
      <c r="C567" s="13"/>
      <c r="D567" s="13"/>
    </row>
    <row r="568" spans="1:4" ht="13">
      <c r="A568" s="14"/>
      <c r="B568" s="13"/>
      <c r="C568" s="13"/>
      <c r="D568" s="13"/>
    </row>
    <row r="569" spans="1:4" ht="13">
      <c r="A569" s="14"/>
      <c r="B569" s="13"/>
      <c r="C569" s="13"/>
      <c r="D569" s="13"/>
    </row>
    <row r="570" spans="1:4" ht="13">
      <c r="A570" s="14"/>
      <c r="B570" s="13"/>
      <c r="C570" s="13"/>
      <c r="D570" s="13"/>
    </row>
    <row r="571" spans="1:4" ht="13">
      <c r="A571" s="14"/>
      <c r="B571" s="13"/>
      <c r="C571" s="13"/>
      <c r="D571" s="13"/>
    </row>
    <row r="572" spans="1:4" ht="13">
      <c r="A572" s="14"/>
      <c r="B572" s="13"/>
      <c r="C572" s="13"/>
      <c r="D572" s="13"/>
    </row>
    <row r="573" spans="1:4" ht="13">
      <c r="A573" s="14"/>
      <c r="B573" s="13"/>
      <c r="C573" s="13"/>
      <c r="D573" s="13"/>
    </row>
    <row r="574" spans="1:4" ht="13">
      <c r="A574" s="14"/>
      <c r="B574" s="13"/>
      <c r="C574" s="13"/>
      <c r="D574" s="13"/>
    </row>
    <row r="575" spans="1:4" ht="13">
      <c r="A575" s="14"/>
      <c r="B575" s="13"/>
      <c r="C575" s="13"/>
      <c r="D575" s="13"/>
    </row>
    <row r="576" spans="1:4" ht="13">
      <c r="A576" s="14"/>
      <c r="B576" s="13"/>
      <c r="C576" s="13"/>
      <c r="D576" s="13"/>
    </row>
    <row r="577" spans="1:4" ht="13">
      <c r="A577" s="14"/>
      <c r="B577" s="13"/>
      <c r="C577" s="13"/>
      <c r="D577" s="13"/>
    </row>
    <row r="578" spans="1:4" ht="13">
      <c r="A578" s="14"/>
      <c r="B578" s="13"/>
      <c r="C578" s="13"/>
      <c r="D578" s="13"/>
    </row>
    <row r="579" spans="1:4" ht="13">
      <c r="A579" s="14"/>
      <c r="B579" s="13"/>
      <c r="C579" s="13"/>
      <c r="D579" s="13"/>
    </row>
    <row r="580" spans="1:4" ht="13">
      <c r="A580" s="14"/>
      <c r="B580" s="13"/>
      <c r="C580" s="13"/>
      <c r="D580" s="13"/>
    </row>
    <row r="581" spans="1:4" ht="13">
      <c r="A581" s="14"/>
      <c r="B581" s="13"/>
      <c r="C581" s="13"/>
      <c r="D581" s="13"/>
    </row>
    <row r="582" spans="1:4" ht="13">
      <c r="A582" s="14"/>
      <c r="B582" s="13"/>
      <c r="C582" s="13"/>
      <c r="D582" s="13"/>
    </row>
    <row r="583" spans="1:4" ht="13">
      <c r="A583" s="14"/>
      <c r="B583" s="13"/>
      <c r="C583" s="13"/>
      <c r="D583" s="13"/>
    </row>
    <row r="584" spans="1:4" ht="13">
      <c r="A584" s="14"/>
      <c r="B584" s="13"/>
      <c r="C584" s="13"/>
      <c r="D584" s="13"/>
    </row>
    <row r="585" spans="1:4" ht="13">
      <c r="A585" s="14"/>
      <c r="B585" s="13"/>
      <c r="C585" s="13"/>
      <c r="D585" s="13"/>
    </row>
    <row r="586" spans="1:4" ht="13">
      <c r="A586" s="14"/>
      <c r="B586" s="13"/>
      <c r="C586" s="13"/>
      <c r="D586" s="13"/>
    </row>
    <row r="587" spans="1:4" ht="13">
      <c r="A587" s="14"/>
      <c r="B587" s="13"/>
      <c r="C587" s="13"/>
      <c r="D587" s="13"/>
    </row>
    <row r="588" spans="1:4" ht="13">
      <c r="A588" s="14"/>
      <c r="B588" s="13"/>
      <c r="C588" s="13"/>
      <c r="D588" s="13"/>
    </row>
    <row r="589" spans="1:4" ht="13">
      <c r="A589" s="14"/>
      <c r="B589" s="13"/>
      <c r="C589" s="13"/>
      <c r="D589" s="13"/>
    </row>
    <row r="590" spans="1:4" ht="13">
      <c r="A590" s="14"/>
      <c r="B590" s="13"/>
      <c r="C590" s="13"/>
      <c r="D590" s="13"/>
    </row>
    <row r="591" spans="1:4" ht="13">
      <c r="A591" s="14"/>
      <c r="B591" s="13"/>
      <c r="C591" s="13"/>
      <c r="D591" s="13"/>
    </row>
    <row r="592" spans="1:4" ht="13">
      <c r="A592" s="14"/>
      <c r="B592" s="13"/>
      <c r="C592" s="13"/>
      <c r="D592" s="13"/>
    </row>
    <row r="593" spans="1:4" ht="13">
      <c r="A593" s="14"/>
      <c r="B593" s="13"/>
      <c r="C593" s="13"/>
      <c r="D593" s="13"/>
    </row>
    <row r="594" spans="1:4" ht="13">
      <c r="A594" s="14"/>
      <c r="B594" s="13"/>
      <c r="C594" s="13"/>
      <c r="D594" s="13"/>
    </row>
    <row r="595" spans="1:4" ht="13">
      <c r="A595" s="14"/>
      <c r="B595" s="13"/>
      <c r="C595" s="13"/>
      <c r="D595" s="13"/>
    </row>
    <row r="596" spans="1:4" ht="13">
      <c r="A596" s="14"/>
      <c r="B596" s="13"/>
      <c r="C596" s="13"/>
      <c r="D596" s="13"/>
    </row>
    <row r="597" spans="1:4" ht="13">
      <c r="A597" s="14"/>
      <c r="B597" s="13"/>
      <c r="C597" s="13"/>
      <c r="D597" s="13"/>
    </row>
    <row r="598" spans="1:4" ht="13">
      <c r="A598" s="14"/>
      <c r="B598" s="13"/>
      <c r="C598" s="13"/>
      <c r="D598" s="13"/>
    </row>
    <row r="599" spans="1:4" ht="13">
      <c r="A599" s="14"/>
      <c r="B599" s="13"/>
      <c r="C599" s="13"/>
      <c r="D599" s="13"/>
    </row>
    <row r="600" spans="1:4" ht="13">
      <c r="A600" s="14"/>
      <c r="B600" s="13"/>
      <c r="C600" s="13"/>
      <c r="D600" s="13"/>
    </row>
    <row r="601" spans="1:4" ht="13">
      <c r="A601" s="14"/>
      <c r="B601" s="13"/>
      <c r="C601" s="13"/>
      <c r="D601" s="13"/>
    </row>
    <row r="602" spans="1:4" ht="13">
      <c r="A602" s="14"/>
      <c r="B602" s="13"/>
      <c r="C602" s="13"/>
      <c r="D602" s="13"/>
    </row>
    <row r="603" spans="1:4" ht="13">
      <c r="A603" s="14"/>
      <c r="B603" s="13"/>
      <c r="C603" s="13"/>
      <c r="D603" s="13"/>
    </row>
    <row r="604" spans="1:4" ht="13">
      <c r="A604" s="14"/>
      <c r="B604" s="13"/>
      <c r="C604" s="13"/>
      <c r="D604" s="13"/>
    </row>
    <row r="605" spans="1:4" ht="13">
      <c r="A605" s="14"/>
      <c r="B605" s="13"/>
      <c r="C605" s="13"/>
      <c r="D605" s="13"/>
    </row>
    <row r="606" spans="1:4" ht="13">
      <c r="A606" s="14"/>
      <c r="B606" s="13"/>
      <c r="C606" s="13"/>
      <c r="D606" s="13"/>
    </row>
    <row r="607" spans="1:4" ht="13">
      <c r="A607" s="14"/>
      <c r="B607" s="13"/>
      <c r="C607" s="13"/>
      <c r="D607" s="13"/>
    </row>
    <row r="608" spans="1:4" ht="13">
      <c r="A608" s="14"/>
      <c r="B608" s="13"/>
      <c r="C608" s="13"/>
      <c r="D608" s="13"/>
    </row>
    <row r="609" spans="1:4" ht="13">
      <c r="A609" s="14"/>
      <c r="B609" s="13"/>
      <c r="C609" s="13"/>
      <c r="D609" s="13"/>
    </row>
    <row r="610" spans="1:4" ht="13">
      <c r="A610" s="14"/>
      <c r="B610" s="13"/>
      <c r="C610" s="13"/>
      <c r="D610" s="13"/>
    </row>
    <row r="611" spans="1:4" ht="13">
      <c r="A611" s="14"/>
      <c r="B611" s="13"/>
      <c r="C611" s="13"/>
      <c r="D611" s="13"/>
    </row>
    <row r="612" spans="1:4" ht="13">
      <c r="A612" s="14"/>
      <c r="B612" s="13"/>
      <c r="C612" s="13"/>
      <c r="D612" s="13"/>
    </row>
    <row r="613" spans="1:4" ht="13">
      <c r="A613" s="14"/>
      <c r="B613" s="13"/>
      <c r="C613" s="13"/>
      <c r="D613" s="13"/>
    </row>
    <row r="614" spans="1:4" ht="13">
      <c r="A614" s="14"/>
      <c r="B614" s="13"/>
      <c r="C614" s="13"/>
      <c r="D614" s="13"/>
    </row>
    <row r="615" spans="1:4" ht="13">
      <c r="A615" s="14"/>
      <c r="B615" s="13"/>
      <c r="C615" s="13"/>
      <c r="D615" s="13"/>
    </row>
    <row r="616" spans="1:4" ht="13">
      <c r="A616" s="14"/>
      <c r="B616" s="13"/>
      <c r="C616" s="13"/>
      <c r="D616" s="13"/>
    </row>
    <row r="617" spans="1:4" ht="13">
      <c r="A617" s="14"/>
      <c r="B617" s="13"/>
      <c r="C617" s="13"/>
      <c r="D617" s="13"/>
    </row>
    <row r="618" spans="1:4" ht="13">
      <c r="A618" s="14"/>
      <c r="B618" s="13"/>
      <c r="C618" s="13"/>
      <c r="D618" s="13"/>
    </row>
    <row r="619" spans="1:4" ht="13">
      <c r="A619" s="14"/>
      <c r="B619" s="13"/>
      <c r="C619" s="13"/>
      <c r="D619" s="13"/>
    </row>
    <row r="620" spans="1:4" ht="13">
      <c r="A620" s="14"/>
      <c r="B620" s="13"/>
      <c r="C620" s="13"/>
      <c r="D620" s="13"/>
    </row>
    <row r="621" spans="1:4" ht="13">
      <c r="A621" s="14"/>
      <c r="B621" s="13"/>
      <c r="C621" s="13"/>
      <c r="D621" s="13"/>
    </row>
    <row r="622" spans="1:4" ht="13">
      <c r="A622" s="14"/>
      <c r="B622" s="13"/>
      <c r="C622" s="13"/>
      <c r="D622" s="13"/>
    </row>
    <row r="623" spans="1:4" ht="13">
      <c r="A623" s="14"/>
      <c r="B623" s="13"/>
      <c r="C623" s="13"/>
      <c r="D623" s="13"/>
    </row>
    <row r="624" spans="1:4" ht="13">
      <c r="A624" s="14"/>
      <c r="B624" s="13"/>
      <c r="C624" s="13"/>
      <c r="D624" s="13"/>
    </row>
    <row r="625" spans="1:4" ht="13">
      <c r="A625" s="14"/>
      <c r="B625" s="13"/>
      <c r="C625" s="13"/>
      <c r="D625" s="13"/>
    </row>
    <row r="626" spans="1:4" ht="13">
      <c r="A626" s="14"/>
      <c r="B626" s="13"/>
      <c r="C626" s="13"/>
      <c r="D626" s="13"/>
    </row>
    <row r="627" spans="1:4" ht="13">
      <c r="A627" s="14"/>
      <c r="B627" s="13"/>
      <c r="C627" s="13"/>
      <c r="D627" s="13"/>
    </row>
    <row r="628" spans="1:4" ht="13">
      <c r="A628" s="14"/>
      <c r="B628" s="13"/>
      <c r="C628" s="13"/>
      <c r="D628" s="13"/>
    </row>
    <row r="629" spans="1:4" ht="13">
      <c r="A629" s="14"/>
      <c r="B629" s="13"/>
      <c r="C629" s="13"/>
      <c r="D629" s="13"/>
    </row>
    <row r="630" spans="1:4" ht="13">
      <c r="A630" s="14"/>
      <c r="B630" s="13"/>
      <c r="C630" s="13"/>
      <c r="D630" s="13"/>
    </row>
    <row r="631" spans="1:4" ht="13">
      <c r="A631" s="14"/>
      <c r="B631" s="13"/>
      <c r="C631" s="13"/>
      <c r="D631" s="13"/>
    </row>
    <row r="632" spans="1:4" ht="13">
      <c r="A632" s="14"/>
      <c r="B632" s="13"/>
      <c r="C632" s="13"/>
      <c r="D632" s="13"/>
    </row>
    <row r="633" spans="1:4" ht="13">
      <c r="A633" s="14"/>
      <c r="B633" s="13"/>
      <c r="C633" s="13"/>
      <c r="D633" s="13"/>
    </row>
    <row r="634" spans="1:4" ht="13">
      <c r="A634" s="14"/>
      <c r="B634" s="13"/>
      <c r="C634" s="13"/>
      <c r="D634" s="13"/>
    </row>
    <row r="635" spans="1:4" ht="13">
      <c r="A635" s="14"/>
      <c r="B635" s="13"/>
      <c r="C635" s="13"/>
      <c r="D635" s="13"/>
    </row>
    <row r="636" spans="1:4" ht="13">
      <c r="A636" s="14"/>
      <c r="B636" s="13"/>
      <c r="C636" s="13"/>
      <c r="D636" s="13"/>
    </row>
    <row r="637" spans="1:4" ht="13">
      <c r="A637" s="14"/>
      <c r="B637" s="13"/>
      <c r="C637" s="13"/>
      <c r="D637" s="13"/>
    </row>
    <row r="638" spans="1:4" ht="13">
      <c r="A638" s="14"/>
      <c r="B638" s="13"/>
      <c r="C638" s="13"/>
      <c r="D638" s="13"/>
    </row>
    <row r="639" spans="1:4" ht="13">
      <c r="A639" s="14"/>
      <c r="B639" s="13"/>
      <c r="C639" s="13"/>
      <c r="D639" s="13"/>
    </row>
    <row r="640" spans="1:4" ht="13">
      <c r="A640" s="14"/>
      <c r="B640" s="13"/>
      <c r="C640" s="13"/>
      <c r="D640" s="13"/>
    </row>
    <row r="641" spans="1:4" ht="13">
      <c r="A641" s="14"/>
      <c r="B641" s="13"/>
      <c r="C641" s="13"/>
      <c r="D641" s="13"/>
    </row>
    <row r="642" spans="1:4" ht="13">
      <c r="A642" s="14"/>
      <c r="B642" s="13"/>
      <c r="C642" s="13"/>
      <c r="D642" s="13"/>
    </row>
    <row r="643" spans="1:4" ht="13">
      <c r="A643" s="14"/>
      <c r="B643" s="13"/>
      <c r="C643" s="13"/>
      <c r="D643" s="13"/>
    </row>
    <row r="644" spans="1:4" ht="13">
      <c r="A644" s="14"/>
      <c r="B644" s="13"/>
      <c r="C644" s="13"/>
      <c r="D644" s="13"/>
    </row>
    <row r="645" spans="1:4" ht="13">
      <c r="A645" s="14"/>
      <c r="B645" s="13"/>
      <c r="C645" s="13"/>
      <c r="D645" s="13"/>
    </row>
    <row r="646" spans="1:4" ht="13">
      <c r="A646" s="14"/>
      <c r="B646" s="13"/>
      <c r="C646" s="13"/>
      <c r="D646" s="13"/>
    </row>
    <row r="647" spans="1:4" ht="13">
      <c r="A647" s="14"/>
      <c r="B647" s="13"/>
      <c r="C647" s="13"/>
      <c r="D647" s="13"/>
    </row>
    <row r="648" spans="1:4" ht="13">
      <c r="A648" s="14"/>
      <c r="B648" s="13"/>
      <c r="C648" s="13"/>
      <c r="D648" s="13"/>
    </row>
    <row r="649" spans="1:4" ht="13">
      <c r="A649" s="14"/>
      <c r="B649" s="13"/>
      <c r="C649" s="13"/>
      <c r="D649" s="13"/>
    </row>
    <row r="650" spans="1:4" ht="13">
      <c r="A650" s="14"/>
      <c r="B650" s="13"/>
      <c r="C650" s="13"/>
      <c r="D650" s="13"/>
    </row>
    <row r="651" spans="1:4" ht="13">
      <c r="A651" s="14"/>
      <c r="B651" s="13"/>
      <c r="C651" s="13"/>
      <c r="D651" s="13"/>
    </row>
    <row r="652" spans="1:4" ht="13">
      <c r="A652" s="14"/>
      <c r="B652" s="13"/>
      <c r="C652" s="13"/>
      <c r="D652" s="13"/>
    </row>
    <row r="653" spans="1:4" ht="13">
      <c r="A653" s="14"/>
      <c r="B653" s="13"/>
      <c r="C653" s="13"/>
      <c r="D653" s="13"/>
    </row>
    <row r="654" spans="1:4" ht="13">
      <c r="A654" s="14"/>
      <c r="B654" s="13"/>
      <c r="C654" s="13"/>
      <c r="D654" s="13"/>
    </row>
    <row r="655" spans="1:4" ht="13">
      <c r="A655" s="14"/>
      <c r="B655" s="13"/>
      <c r="C655" s="13"/>
      <c r="D655" s="13"/>
    </row>
    <row r="656" spans="1:4" ht="13">
      <c r="A656" s="14"/>
      <c r="B656" s="13"/>
      <c r="C656" s="13"/>
      <c r="D656" s="13"/>
    </row>
    <row r="657" spans="1:4" ht="13">
      <c r="A657" s="14"/>
      <c r="B657" s="13"/>
      <c r="C657" s="13"/>
      <c r="D657" s="13"/>
    </row>
    <row r="658" spans="1:4" ht="13">
      <c r="A658" s="14"/>
      <c r="B658" s="13"/>
      <c r="C658" s="13"/>
      <c r="D658" s="13"/>
    </row>
    <row r="659" spans="1:4" ht="13">
      <c r="A659" s="14"/>
      <c r="B659" s="13"/>
      <c r="C659" s="13"/>
      <c r="D659" s="13"/>
    </row>
    <row r="660" spans="1:4" ht="13">
      <c r="A660" s="14"/>
      <c r="B660" s="13"/>
      <c r="C660" s="13"/>
      <c r="D660" s="13"/>
    </row>
    <row r="661" spans="1:4" ht="13">
      <c r="A661" s="14"/>
      <c r="B661" s="13"/>
      <c r="C661" s="13"/>
      <c r="D661" s="13"/>
    </row>
    <row r="662" spans="1:4" ht="13">
      <c r="A662" s="14"/>
      <c r="B662" s="13"/>
      <c r="C662" s="13"/>
      <c r="D662" s="13"/>
    </row>
    <row r="663" spans="1:4" ht="13">
      <c r="A663" s="14"/>
      <c r="B663" s="13"/>
      <c r="C663" s="13"/>
      <c r="D663" s="13"/>
    </row>
    <row r="664" spans="1:4" ht="13">
      <c r="A664" s="14"/>
      <c r="B664" s="13"/>
      <c r="C664" s="13"/>
      <c r="D664" s="13"/>
    </row>
    <row r="665" spans="1:4" ht="13">
      <c r="A665" s="14"/>
      <c r="B665" s="13"/>
      <c r="C665" s="13"/>
      <c r="D665" s="13"/>
    </row>
    <row r="666" spans="1:4" ht="13">
      <c r="A666" s="14"/>
      <c r="B666" s="13"/>
      <c r="C666" s="13"/>
      <c r="D666" s="13"/>
    </row>
    <row r="667" spans="1:4" ht="13">
      <c r="A667" s="14"/>
      <c r="B667" s="13"/>
      <c r="C667" s="13"/>
      <c r="D667" s="13"/>
    </row>
    <row r="668" spans="1:4" ht="13">
      <c r="A668" s="14"/>
      <c r="B668" s="13"/>
      <c r="C668" s="13"/>
      <c r="D668" s="13"/>
    </row>
    <row r="669" spans="1:4" ht="13">
      <c r="A669" s="14"/>
      <c r="B669" s="13"/>
      <c r="C669" s="13"/>
      <c r="D669" s="13"/>
    </row>
    <row r="670" spans="1:4" ht="13">
      <c r="A670" s="14"/>
      <c r="B670" s="13"/>
      <c r="C670" s="13"/>
      <c r="D670" s="13"/>
    </row>
    <row r="671" spans="1:4" ht="13">
      <c r="A671" s="14"/>
      <c r="B671" s="13"/>
      <c r="C671" s="13"/>
      <c r="D671" s="13"/>
    </row>
    <row r="672" spans="1:4" ht="13">
      <c r="A672" s="14"/>
      <c r="B672" s="13"/>
      <c r="C672" s="13"/>
      <c r="D672" s="13"/>
    </row>
    <row r="673" spans="1:4" ht="13">
      <c r="A673" s="14"/>
      <c r="B673" s="13"/>
      <c r="C673" s="13"/>
      <c r="D673" s="13"/>
    </row>
    <row r="674" spans="1:4" ht="13">
      <c r="A674" s="14"/>
      <c r="B674" s="13"/>
      <c r="C674" s="13"/>
      <c r="D674" s="13"/>
    </row>
    <row r="675" spans="1:4" ht="13">
      <c r="A675" s="14"/>
      <c r="B675" s="13"/>
      <c r="C675" s="13"/>
      <c r="D675" s="13"/>
    </row>
    <row r="676" spans="1:4" ht="13">
      <c r="A676" s="14"/>
      <c r="B676" s="13"/>
      <c r="C676" s="13"/>
      <c r="D676" s="13"/>
    </row>
    <row r="677" spans="1:4" ht="13">
      <c r="A677" s="14"/>
      <c r="B677" s="13"/>
      <c r="C677" s="13"/>
      <c r="D677" s="13"/>
    </row>
    <row r="678" spans="1:4" ht="13">
      <c r="A678" s="14"/>
      <c r="B678" s="13"/>
      <c r="C678" s="13"/>
      <c r="D678" s="13"/>
    </row>
    <row r="679" spans="1:4" ht="13">
      <c r="A679" s="14"/>
      <c r="B679" s="13"/>
      <c r="C679" s="13"/>
      <c r="D679" s="13"/>
    </row>
    <row r="680" spans="1:4" ht="13">
      <c r="A680" s="14"/>
      <c r="B680" s="13"/>
      <c r="C680" s="13"/>
      <c r="D680" s="13"/>
    </row>
    <row r="681" spans="1:4" ht="13">
      <c r="A681" s="14"/>
      <c r="B681" s="13"/>
      <c r="C681" s="13"/>
      <c r="D681" s="13"/>
    </row>
    <row r="682" spans="1:4" ht="13">
      <c r="A682" s="14"/>
      <c r="B682" s="13"/>
      <c r="C682" s="13"/>
      <c r="D682" s="13"/>
    </row>
    <row r="683" spans="1:4" ht="13">
      <c r="A683" s="14"/>
      <c r="B683" s="13"/>
      <c r="C683" s="13"/>
      <c r="D683" s="13"/>
    </row>
    <row r="684" spans="1:4" ht="13">
      <c r="A684" s="14"/>
      <c r="B684" s="13"/>
      <c r="C684" s="13"/>
      <c r="D684" s="13"/>
    </row>
    <row r="685" spans="1:4" ht="13">
      <c r="A685" s="14"/>
      <c r="B685" s="13"/>
      <c r="C685" s="13"/>
      <c r="D685" s="13"/>
    </row>
    <row r="686" spans="1:4" ht="13">
      <c r="A686" s="14"/>
      <c r="B686" s="13"/>
      <c r="C686" s="13"/>
      <c r="D686" s="13"/>
    </row>
    <row r="687" spans="1:4" ht="13">
      <c r="A687" s="14"/>
      <c r="B687" s="13"/>
      <c r="C687" s="13"/>
      <c r="D687" s="13"/>
    </row>
    <row r="688" spans="1:4" ht="13">
      <c r="A688" s="14"/>
      <c r="B688" s="13"/>
      <c r="C688" s="13"/>
      <c r="D688" s="13"/>
    </row>
    <row r="689" spans="1:4" ht="13">
      <c r="A689" s="14"/>
      <c r="B689" s="13"/>
      <c r="C689" s="13"/>
      <c r="D689" s="13"/>
    </row>
    <row r="690" spans="1:4" ht="13">
      <c r="A690" s="14"/>
      <c r="B690" s="13"/>
      <c r="C690" s="13"/>
      <c r="D690" s="13"/>
    </row>
    <row r="691" spans="1:4" ht="13">
      <c r="A691" s="14"/>
      <c r="B691" s="13"/>
      <c r="C691" s="13"/>
      <c r="D691" s="13"/>
    </row>
    <row r="692" spans="1:4" ht="13">
      <c r="A692" s="14"/>
      <c r="B692" s="13"/>
      <c r="C692" s="13"/>
      <c r="D692" s="13"/>
    </row>
    <row r="693" spans="1:4" ht="13">
      <c r="A693" s="14"/>
      <c r="B693" s="13"/>
      <c r="C693" s="13"/>
      <c r="D693" s="13"/>
    </row>
    <row r="694" spans="1:4" ht="13">
      <c r="A694" s="14"/>
      <c r="B694" s="13"/>
      <c r="C694" s="13"/>
      <c r="D694" s="13"/>
    </row>
    <row r="695" spans="1:4" ht="13">
      <c r="A695" s="14"/>
      <c r="B695" s="13"/>
      <c r="C695" s="13"/>
      <c r="D695" s="13"/>
    </row>
    <row r="696" spans="1:4" ht="13">
      <c r="A696" s="14"/>
      <c r="B696" s="13"/>
      <c r="C696" s="13"/>
      <c r="D696" s="13"/>
    </row>
    <row r="697" spans="1:4" ht="13">
      <c r="A697" s="14"/>
      <c r="B697" s="13"/>
      <c r="C697" s="13"/>
      <c r="D697" s="13"/>
    </row>
    <row r="698" spans="1:4" ht="13">
      <c r="A698" s="14"/>
      <c r="B698" s="13"/>
      <c r="C698" s="13"/>
      <c r="D698" s="13"/>
    </row>
    <row r="699" spans="1:4" ht="13">
      <c r="A699" s="14"/>
      <c r="B699" s="13"/>
      <c r="C699" s="13"/>
      <c r="D699" s="13"/>
    </row>
    <row r="700" spans="1:4" ht="13">
      <c r="A700" s="14"/>
      <c r="B700" s="13"/>
      <c r="C700" s="13"/>
      <c r="D700" s="13"/>
    </row>
    <row r="701" spans="1:4" ht="13">
      <c r="A701" s="14"/>
      <c r="B701" s="13"/>
      <c r="C701" s="13"/>
      <c r="D701" s="13"/>
    </row>
    <row r="702" spans="1:4" ht="13">
      <c r="A702" s="14"/>
      <c r="B702" s="13"/>
      <c r="C702" s="13"/>
      <c r="D702" s="13"/>
    </row>
    <row r="703" spans="1:4" ht="13">
      <c r="A703" s="14"/>
      <c r="B703" s="13"/>
      <c r="C703" s="13"/>
      <c r="D703" s="13"/>
    </row>
    <row r="704" spans="1:4" ht="13">
      <c r="A704" s="14"/>
      <c r="B704" s="13"/>
      <c r="C704" s="13"/>
      <c r="D704" s="13"/>
    </row>
    <row r="705" spans="1:4" ht="13">
      <c r="A705" s="14"/>
      <c r="B705" s="13"/>
      <c r="C705" s="13"/>
      <c r="D705" s="13"/>
    </row>
    <row r="706" spans="1:4" ht="13">
      <c r="A706" s="14"/>
      <c r="B706" s="13"/>
      <c r="C706" s="13"/>
      <c r="D706" s="13"/>
    </row>
    <row r="707" spans="1:4" ht="13">
      <c r="A707" s="14"/>
      <c r="B707" s="13"/>
      <c r="C707" s="13"/>
      <c r="D707" s="13"/>
    </row>
    <row r="708" spans="1:4" ht="13">
      <c r="A708" s="14"/>
      <c r="B708" s="13"/>
      <c r="C708" s="13"/>
      <c r="D708" s="13"/>
    </row>
    <row r="709" spans="1:4" ht="13">
      <c r="A709" s="14"/>
      <c r="B709" s="13"/>
      <c r="C709" s="13"/>
      <c r="D709" s="13"/>
    </row>
    <row r="710" spans="1:4" ht="13">
      <c r="A710" s="14"/>
      <c r="B710" s="13"/>
      <c r="C710" s="13"/>
      <c r="D710" s="13"/>
    </row>
    <row r="711" spans="1:4" ht="13">
      <c r="A711" s="14"/>
      <c r="B711" s="13"/>
      <c r="C711" s="13"/>
      <c r="D711" s="13"/>
    </row>
    <row r="712" spans="1:4" ht="13">
      <c r="A712" s="14"/>
      <c r="B712" s="13"/>
      <c r="C712" s="13"/>
      <c r="D712" s="13"/>
    </row>
    <row r="713" spans="1:4" ht="13">
      <c r="A713" s="14"/>
      <c r="B713" s="13"/>
      <c r="C713" s="13"/>
      <c r="D713" s="13"/>
    </row>
    <row r="714" spans="1:4" ht="13">
      <c r="A714" s="14"/>
      <c r="B714" s="13"/>
      <c r="C714" s="13"/>
      <c r="D714" s="13"/>
    </row>
    <row r="715" spans="1:4" ht="13">
      <c r="A715" s="14"/>
      <c r="B715" s="13"/>
      <c r="C715" s="13"/>
      <c r="D715" s="13"/>
    </row>
    <row r="716" spans="1:4" ht="13">
      <c r="A716" s="14"/>
      <c r="B716" s="13"/>
      <c r="C716" s="13"/>
      <c r="D716" s="13"/>
    </row>
    <row r="717" spans="1:4" ht="13">
      <c r="A717" s="14"/>
      <c r="B717" s="13"/>
      <c r="C717" s="13"/>
      <c r="D717" s="13"/>
    </row>
    <row r="718" spans="1:4" ht="13">
      <c r="A718" s="14"/>
      <c r="B718" s="13"/>
      <c r="C718" s="13"/>
      <c r="D718" s="13"/>
    </row>
    <row r="719" spans="1:4" ht="13">
      <c r="A719" s="14"/>
      <c r="B719" s="13"/>
      <c r="C719" s="13"/>
      <c r="D719" s="13"/>
    </row>
    <row r="720" spans="1:4" ht="13">
      <c r="A720" s="14"/>
      <c r="B720" s="13"/>
      <c r="C720" s="13"/>
      <c r="D720" s="13"/>
    </row>
    <row r="721" spans="1:4" ht="13">
      <c r="A721" s="14"/>
      <c r="B721" s="13"/>
      <c r="C721" s="13"/>
      <c r="D721" s="13"/>
    </row>
    <row r="722" spans="1:4" ht="13">
      <c r="A722" s="14"/>
      <c r="B722" s="13"/>
      <c r="C722" s="13"/>
      <c r="D722" s="13"/>
    </row>
    <row r="723" spans="1:4" ht="13">
      <c r="A723" s="14"/>
      <c r="B723" s="13"/>
      <c r="C723" s="13"/>
      <c r="D723" s="13"/>
    </row>
    <row r="724" spans="1:4" ht="13">
      <c r="A724" s="14"/>
      <c r="B724" s="13"/>
      <c r="C724" s="13"/>
      <c r="D724" s="13"/>
    </row>
    <row r="725" spans="1:4" ht="13">
      <c r="A725" s="14"/>
      <c r="B725" s="13"/>
      <c r="C725" s="13"/>
      <c r="D725" s="13"/>
    </row>
    <row r="726" spans="1:4" ht="13">
      <c r="A726" s="14"/>
      <c r="B726" s="13"/>
      <c r="C726" s="13"/>
      <c r="D726" s="13"/>
    </row>
    <row r="727" spans="1:4" ht="13">
      <c r="A727" s="14"/>
      <c r="B727" s="13"/>
      <c r="C727" s="13"/>
      <c r="D727" s="13"/>
    </row>
    <row r="728" spans="1:4" ht="13">
      <c r="A728" s="14"/>
      <c r="B728" s="13"/>
      <c r="C728" s="13"/>
      <c r="D728" s="13"/>
    </row>
    <row r="729" spans="1:4" ht="13">
      <c r="A729" s="14"/>
      <c r="B729" s="13"/>
      <c r="C729" s="13"/>
      <c r="D729" s="13"/>
    </row>
    <row r="730" spans="1:4" ht="13">
      <c r="A730" s="14"/>
      <c r="B730" s="13"/>
      <c r="C730" s="13"/>
      <c r="D730" s="13"/>
    </row>
    <row r="731" spans="1:4" ht="13">
      <c r="A731" s="14"/>
      <c r="B731" s="13"/>
      <c r="C731" s="13"/>
      <c r="D731" s="13"/>
    </row>
    <row r="732" spans="1:4" ht="13">
      <c r="A732" s="14"/>
      <c r="B732" s="13"/>
      <c r="C732" s="13"/>
      <c r="D732" s="13"/>
    </row>
    <row r="733" spans="1:4" ht="13">
      <c r="A733" s="14"/>
      <c r="B733" s="13"/>
      <c r="C733" s="13"/>
      <c r="D733" s="13"/>
    </row>
    <row r="734" spans="1:4" ht="13">
      <c r="A734" s="14"/>
      <c r="B734" s="13"/>
      <c r="C734" s="13"/>
      <c r="D734" s="13"/>
    </row>
    <row r="735" spans="1:4" ht="13">
      <c r="A735" s="14"/>
      <c r="B735" s="13"/>
      <c r="C735" s="13"/>
      <c r="D735" s="13"/>
    </row>
    <row r="736" spans="1:4" ht="13">
      <c r="A736" s="14"/>
      <c r="B736" s="13"/>
      <c r="C736" s="13"/>
      <c r="D736" s="13"/>
    </row>
    <row r="737" spans="1:4" ht="13">
      <c r="A737" s="14"/>
      <c r="B737" s="13"/>
      <c r="C737" s="13"/>
      <c r="D737" s="13"/>
    </row>
    <row r="738" spans="1:4" ht="13">
      <c r="A738" s="14"/>
      <c r="B738" s="13"/>
      <c r="C738" s="13"/>
      <c r="D738" s="13"/>
    </row>
    <row r="739" spans="1:4" ht="13">
      <c r="A739" s="14"/>
      <c r="B739" s="13"/>
      <c r="C739" s="13"/>
      <c r="D739" s="13"/>
    </row>
    <row r="740" spans="1:4" ht="13">
      <c r="A740" s="14"/>
      <c r="B740" s="13"/>
      <c r="C740" s="13"/>
      <c r="D740" s="13"/>
    </row>
    <row r="741" spans="1:4" ht="13">
      <c r="A741" s="14"/>
      <c r="B741" s="13"/>
      <c r="C741" s="13"/>
      <c r="D741" s="13"/>
    </row>
    <row r="742" spans="1:4" ht="13">
      <c r="A742" s="14"/>
      <c r="B742" s="13"/>
      <c r="C742" s="13"/>
      <c r="D742" s="13"/>
    </row>
    <row r="743" spans="1:4" ht="13">
      <c r="A743" s="14"/>
      <c r="B743" s="13"/>
      <c r="C743" s="13"/>
      <c r="D743" s="13"/>
    </row>
    <row r="744" spans="1:4" ht="13">
      <c r="A744" s="14"/>
      <c r="B744" s="13"/>
      <c r="C744" s="13"/>
      <c r="D744" s="13"/>
    </row>
    <row r="745" spans="1:4" ht="13">
      <c r="A745" s="14"/>
      <c r="B745" s="13"/>
      <c r="C745" s="13"/>
      <c r="D745" s="13"/>
    </row>
    <row r="746" spans="1:4" ht="13">
      <c r="A746" s="14"/>
      <c r="B746" s="13"/>
      <c r="C746" s="13"/>
      <c r="D746" s="13"/>
    </row>
    <row r="747" spans="1:4" ht="13">
      <c r="A747" s="14"/>
      <c r="B747" s="13"/>
      <c r="C747" s="13"/>
      <c r="D747" s="13"/>
    </row>
    <row r="748" spans="1:4" ht="13">
      <c r="A748" s="14"/>
      <c r="B748" s="13"/>
      <c r="C748" s="13"/>
      <c r="D748" s="13"/>
    </row>
    <row r="749" spans="1:4" ht="13">
      <c r="A749" s="14"/>
      <c r="B749" s="13"/>
      <c r="C749" s="13"/>
      <c r="D749" s="13"/>
    </row>
    <row r="750" spans="1:4" ht="13">
      <c r="A750" s="14"/>
      <c r="B750" s="13"/>
      <c r="C750" s="13"/>
      <c r="D750" s="13"/>
    </row>
    <row r="751" spans="1:4" ht="13">
      <c r="A751" s="14"/>
      <c r="B751" s="13"/>
      <c r="C751" s="13"/>
      <c r="D751" s="13"/>
    </row>
    <row r="752" spans="1:4" ht="13">
      <c r="A752" s="14"/>
      <c r="B752" s="13"/>
      <c r="C752" s="13"/>
      <c r="D752" s="13"/>
    </row>
    <row r="753" spans="1:4" ht="13">
      <c r="A753" s="14"/>
      <c r="B753" s="13"/>
      <c r="C753" s="13"/>
      <c r="D753" s="13"/>
    </row>
    <row r="754" spans="1:4" ht="13">
      <c r="A754" s="14"/>
      <c r="B754" s="13"/>
      <c r="C754" s="13"/>
      <c r="D754" s="13"/>
    </row>
    <row r="755" spans="1:4" ht="13">
      <c r="A755" s="14"/>
      <c r="B755" s="13"/>
      <c r="C755" s="13"/>
      <c r="D755" s="13"/>
    </row>
    <row r="756" spans="1:4" ht="13">
      <c r="A756" s="14"/>
      <c r="B756" s="13"/>
      <c r="C756" s="13"/>
      <c r="D756" s="13"/>
    </row>
    <row r="757" spans="1:4" ht="13">
      <c r="A757" s="14"/>
      <c r="B757" s="13"/>
      <c r="C757" s="13"/>
      <c r="D757" s="13"/>
    </row>
    <row r="758" spans="1:4" ht="13">
      <c r="A758" s="14"/>
      <c r="B758" s="13"/>
      <c r="C758" s="13"/>
      <c r="D758" s="13"/>
    </row>
    <row r="759" spans="1:4" ht="13">
      <c r="A759" s="14"/>
      <c r="B759" s="13"/>
      <c r="C759" s="13"/>
      <c r="D759" s="13"/>
    </row>
    <row r="760" spans="1:4" ht="13">
      <c r="A760" s="14"/>
      <c r="B760" s="13"/>
      <c r="C760" s="13"/>
      <c r="D760" s="13"/>
    </row>
    <row r="761" spans="1:4" ht="13">
      <c r="A761" s="14"/>
      <c r="B761" s="13"/>
      <c r="C761" s="13"/>
      <c r="D761" s="13"/>
    </row>
    <row r="762" spans="1:4" ht="13">
      <c r="A762" s="14"/>
      <c r="B762" s="13"/>
      <c r="C762" s="13"/>
      <c r="D762" s="13"/>
    </row>
    <row r="763" spans="1:4" ht="13">
      <c r="A763" s="14"/>
      <c r="B763" s="13"/>
      <c r="C763" s="13"/>
      <c r="D763" s="13"/>
    </row>
    <row r="764" spans="1:4" ht="13">
      <c r="A764" s="14"/>
      <c r="B764" s="13"/>
      <c r="C764" s="13"/>
      <c r="D764" s="13"/>
    </row>
    <row r="765" spans="1:4" ht="13">
      <c r="A765" s="14"/>
      <c r="B765" s="13"/>
      <c r="C765" s="13"/>
      <c r="D765" s="13"/>
    </row>
    <row r="766" spans="1:4" ht="13">
      <c r="A766" s="14"/>
      <c r="B766" s="13"/>
      <c r="C766" s="13"/>
      <c r="D766" s="13"/>
    </row>
    <row r="767" spans="1:4" ht="13">
      <c r="A767" s="14"/>
      <c r="B767" s="13"/>
      <c r="C767" s="13"/>
      <c r="D767" s="13"/>
    </row>
    <row r="768" spans="1:4" ht="13">
      <c r="A768" s="14"/>
      <c r="B768" s="13"/>
      <c r="C768" s="13"/>
      <c r="D768" s="13"/>
    </row>
    <row r="769" spans="1:4" ht="13">
      <c r="A769" s="14"/>
      <c r="B769" s="13"/>
      <c r="C769" s="13"/>
      <c r="D769" s="13"/>
    </row>
    <row r="770" spans="1:4" ht="13">
      <c r="A770" s="14"/>
      <c r="B770" s="13"/>
      <c r="C770" s="13"/>
      <c r="D770" s="13"/>
    </row>
    <row r="771" spans="1:4" ht="13">
      <c r="A771" s="14"/>
      <c r="B771" s="13"/>
      <c r="C771" s="13"/>
      <c r="D771" s="13"/>
    </row>
    <row r="772" spans="1:4" ht="13">
      <c r="A772" s="14"/>
      <c r="B772" s="13"/>
      <c r="C772" s="13"/>
      <c r="D772" s="13"/>
    </row>
    <row r="773" spans="1:4" ht="13">
      <c r="A773" s="14"/>
      <c r="B773" s="13"/>
      <c r="C773" s="13"/>
      <c r="D773" s="13"/>
    </row>
    <row r="774" spans="1:4" ht="13">
      <c r="A774" s="14"/>
      <c r="B774" s="13"/>
      <c r="C774" s="13"/>
      <c r="D774" s="13"/>
    </row>
    <row r="775" spans="1:4" ht="13">
      <c r="A775" s="14"/>
      <c r="B775" s="13"/>
      <c r="C775" s="13"/>
      <c r="D775" s="13"/>
    </row>
    <row r="776" spans="1:4" ht="13">
      <c r="A776" s="14"/>
      <c r="B776" s="13"/>
      <c r="C776" s="13"/>
      <c r="D776" s="13"/>
    </row>
    <row r="777" spans="1:4" ht="13">
      <c r="A777" s="14"/>
      <c r="B777" s="13"/>
      <c r="C777" s="13"/>
      <c r="D777" s="13"/>
    </row>
    <row r="778" spans="1:4" ht="13">
      <c r="A778" s="14"/>
      <c r="B778" s="13"/>
      <c r="C778" s="13"/>
      <c r="D778" s="13"/>
    </row>
    <row r="779" spans="1:4" ht="13">
      <c r="A779" s="14"/>
      <c r="B779" s="13"/>
      <c r="C779" s="13"/>
      <c r="D779" s="13"/>
    </row>
    <row r="780" spans="1:4" ht="13">
      <c r="A780" s="14"/>
      <c r="B780" s="13"/>
      <c r="C780" s="13"/>
      <c r="D780" s="13"/>
    </row>
    <row r="781" spans="1:4" ht="13">
      <c r="A781" s="14"/>
      <c r="B781" s="13"/>
      <c r="C781" s="13"/>
      <c r="D781" s="13"/>
    </row>
    <row r="782" spans="1:4" ht="13">
      <c r="A782" s="14"/>
      <c r="B782" s="13"/>
      <c r="C782" s="13"/>
      <c r="D782" s="13"/>
    </row>
    <row r="783" spans="1:4" ht="13">
      <c r="A783" s="14"/>
      <c r="B783" s="13"/>
      <c r="C783" s="13"/>
      <c r="D783" s="13"/>
    </row>
    <row r="784" spans="1:4" ht="13">
      <c r="A784" s="14"/>
      <c r="B784" s="13"/>
      <c r="C784" s="13"/>
      <c r="D784" s="13"/>
    </row>
    <row r="785" spans="1:4" ht="13">
      <c r="A785" s="14"/>
      <c r="B785" s="13"/>
      <c r="C785" s="13"/>
      <c r="D785" s="13"/>
    </row>
    <row r="786" spans="1:4" ht="13">
      <c r="A786" s="14"/>
      <c r="B786" s="13"/>
      <c r="C786" s="13"/>
      <c r="D786" s="13"/>
    </row>
    <row r="787" spans="1:4" ht="13">
      <c r="A787" s="14"/>
      <c r="B787" s="13"/>
      <c r="C787" s="13"/>
      <c r="D787" s="13"/>
    </row>
    <row r="788" spans="1:4" ht="13">
      <c r="A788" s="14"/>
      <c r="B788" s="13"/>
      <c r="C788" s="13"/>
      <c r="D788" s="13"/>
    </row>
    <row r="789" spans="1:4" ht="13">
      <c r="A789" s="14"/>
      <c r="B789" s="13"/>
      <c r="C789" s="13"/>
      <c r="D789" s="13"/>
    </row>
    <row r="790" spans="1:4" ht="13">
      <c r="A790" s="14"/>
      <c r="B790" s="13"/>
      <c r="C790" s="13"/>
      <c r="D790" s="13"/>
    </row>
    <row r="791" spans="1:4" ht="13">
      <c r="A791" s="14"/>
      <c r="B791" s="13"/>
      <c r="C791" s="13"/>
      <c r="D791" s="13"/>
    </row>
    <row r="792" spans="1:4" ht="13">
      <c r="A792" s="14"/>
      <c r="B792" s="13"/>
      <c r="C792" s="13"/>
      <c r="D792" s="13"/>
    </row>
    <row r="793" spans="1:4" ht="13">
      <c r="A793" s="14"/>
      <c r="B793" s="13"/>
      <c r="C793" s="13"/>
      <c r="D793" s="13"/>
    </row>
    <row r="794" spans="1:4" ht="13">
      <c r="A794" s="14"/>
      <c r="B794" s="13"/>
      <c r="C794" s="13"/>
      <c r="D794" s="13"/>
    </row>
    <row r="795" spans="1:4" ht="13">
      <c r="A795" s="14"/>
      <c r="B795" s="13"/>
      <c r="C795" s="13"/>
      <c r="D795" s="13"/>
    </row>
    <row r="796" spans="1:4" ht="13">
      <c r="A796" s="14"/>
      <c r="B796" s="13"/>
      <c r="C796" s="13"/>
      <c r="D796" s="13"/>
    </row>
    <row r="797" spans="1:4" ht="13">
      <c r="A797" s="14"/>
      <c r="B797" s="13"/>
      <c r="C797" s="13"/>
      <c r="D797" s="13"/>
    </row>
    <row r="798" spans="1:4" ht="13">
      <c r="A798" s="14"/>
      <c r="B798" s="13"/>
      <c r="C798" s="13"/>
      <c r="D798" s="13"/>
    </row>
    <row r="799" spans="1:4" ht="13">
      <c r="A799" s="14"/>
      <c r="B799" s="13"/>
      <c r="C799" s="13"/>
      <c r="D799" s="13"/>
    </row>
    <row r="800" spans="1:4" ht="13">
      <c r="A800" s="14"/>
      <c r="B800" s="13"/>
      <c r="C800" s="13"/>
      <c r="D800" s="13"/>
    </row>
    <row r="801" spans="1:4" ht="13">
      <c r="A801" s="14"/>
      <c r="B801" s="13"/>
      <c r="C801" s="13"/>
      <c r="D801" s="13"/>
    </row>
    <row r="802" spans="1:4" ht="13">
      <c r="A802" s="14"/>
      <c r="B802" s="13"/>
      <c r="C802" s="13"/>
      <c r="D802" s="13"/>
    </row>
    <row r="803" spans="1:4" ht="13">
      <c r="A803" s="14"/>
      <c r="B803" s="13"/>
      <c r="C803" s="13"/>
      <c r="D803" s="13"/>
    </row>
    <row r="804" spans="1:4" ht="13">
      <c r="A804" s="14"/>
      <c r="B804" s="13"/>
      <c r="C804" s="13"/>
      <c r="D804" s="13"/>
    </row>
    <row r="805" spans="1:4" ht="13">
      <c r="A805" s="14"/>
      <c r="B805" s="13"/>
      <c r="C805" s="13"/>
      <c r="D805" s="13"/>
    </row>
    <row r="806" spans="1:4" ht="13">
      <c r="A806" s="14"/>
      <c r="B806" s="13"/>
      <c r="C806" s="13"/>
      <c r="D806" s="13"/>
    </row>
    <row r="807" spans="1:4" ht="13">
      <c r="A807" s="14"/>
      <c r="B807" s="13"/>
      <c r="C807" s="13"/>
      <c r="D807" s="13"/>
    </row>
    <row r="808" spans="1:4" ht="13">
      <c r="A808" s="14"/>
      <c r="B808" s="13"/>
      <c r="C808" s="13"/>
      <c r="D808" s="13"/>
    </row>
    <row r="809" spans="1:4" ht="13">
      <c r="A809" s="14"/>
      <c r="B809" s="13"/>
      <c r="C809" s="13"/>
      <c r="D809" s="13"/>
    </row>
    <row r="810" spans="1:4" ht="13">
      <c r="A810" s="14"/>
      <c r="B810" s="13"/>
      <c r="C810" s="13"/>
      <c r="D810" s="13"/>
    </row>
    <row r="811" spans="1:4" ht="13">
      <c r="A811" s="14"/>
      <c r="B811" s="13"/>
      <c r="C811" s="13"/>
      <c r="D811" s="13"/>
    </row>
    <row r="812" spans="1:4" ht="13">
      <c r="A812" s="14"/>
      <c r="B812" s="13"/>
      <c r="C812" s="13"/>
      <c r="D812" s="13"/>
    </row>
    <row r="813" spans="1:4" ht="13">
      <c r="A813" s="14"/>
      <c r="B813" s="13"/>
      <c r="C813" s="13"/>
      <c r="D813" s="13"/>
    </row>
    <row r="814" spans="1:4" ht="13">
      <c r="A814" s="14"/>
      <c r="B814" s="13"/>
      <c r="C814" s="13"/>
      <c r="D814" s="13"/>
    </row>
    <row r="815" spans="1:4" ht="13">
      <c r="A815" s="14"/>
      <c r="B815" s="13"/>
      <c r="C815" s="13"/>
      <c r="D815" s="13"/>
    </row>
    <row r="816" spans="1:4" ht="13">
      <c r="A816" s="14"/>
      <c r="B816" s="13"/>
      <c r="C816" s="13"/>
      <c r="D816" s="13"/>
    </row>
    <row r="817" spans="1:4" ht="13">
      <c r="A817" s="14"/>
      <c r="B817" s="13"/>
      <c r="C817" s="13"/>
      <c r="D817" s="13"/>
    </row>
    <row r="818" spans="1:4" ht="13">
      <c r="A818" s="14"/>
      <c r="B818" s="13"/>
      <c r="C818" s="13"/>
      <c r="D818" s="13"/>
    </row>
    <row r="819" spans="1:4" ht="13">
      <c r="A819" s="14"/>
      <c r="B819" s="13"/>
      <c r="C819" s="13"/>
      <c r="D819" s="13"/>
    </row>
    <row r="820" spans="1:4" ht="13">
      <c r="A820" s="14"/>
      <c r="B820" s="13"/>
      <c r="C820" s="13"/>
      <c r="D820" s="13"/>
    </row>
    <row r="821" spans="1:4" ht="13">
      <c r="A821" s="14"/>
      <c r="B821" s="13"/>
      <c r="C821" s="13"/>
      <c r="D821" s="13"/>
    </row>
    <row r="822" spans="1:4" ht="13">
      <c r="A822" s="14"/>
      <c r="B822" s="13"/>
      <c r="C822" s="13"/>
      <c r="D822" s="13"/>
    </row>
    <row r="823" spans="1:4" ht="13">
      <c r="A823" s="14"/>
      <c r="B823" s="13"/>
      <c r="C823" s="13"/>
      <c r="D823" s="13"/>
    </row>
    <row r="824" spans="1:4" ht="13">
      <c r="A824" s="14"/>
      <c r="B824" s="13"/>
      <c r="C824" s="13"/>
      <c r="D824" s="13"/>
    </row>
    <row r="825" spans="1:4" ht="13">
      <c r="A825" s="14"/>
      <c r="B825" s="13"/>
      <c r="C825" s="13"/>
      <c r="D825" s="13"/>
    </row>
    <row r="826" spans="1:4" ht="13">
      <c r="A826" s="14"/>
      <c r="B826" s="13"/>
      <c r="C826" s="13"/>
      <c r="D826" s="13"/>
    </row>
    <row r="827" spans="1:4" ht="13">
      <c r="A827" s="14"/>
      <c r="B827" s="13"/>
      <c r="C827" s="13"/>
      <c r="D827" s="13"/>
    </row>
    <row r="828" spans="1:4" ht="13">
      <c r="A828" s="14"/>
      <c r="B828" s="13"/>
      <c r="C828" s="13"/>
      <c r="D828" s="13"/>
    </row>
    <row r="829" spans="1:4" ht="13">
      <c r="A829" s="14"/>
      <c r="B829" s="13"/>
      <c r="C829" s="13"/>
      <c r="D829" s="13"/>
    </row>
    <row r="830" spans="1:4" ht="13">
      <c r="A830" s="14"/>
      <c r="B830" s="13"/>
      <c r="C830" s="13"/>
      <c r="D830" s="13"/>
    </row>
    <row r="831" spans="1:4" ht="13">
      <c r="A831" s="14"/>
      <c r="B831" s="13"/>
      <c r="C831" s="13"/>
      <c r="D831" s="13"/>
    </row>
    <row r="832" spans="1:4" ht="13">
      <c r="A832" s="14"/>
      <c r="B832" s="13"/>
      <c r="C832" s="13"/>
      <c r="D832" s="13"/>
    </row>
    <row r="833" spans="1:4" ht="13">
      <c r="A833" s="14"/>
      <c r="B833" s="13"/>
      <c r="C833" s="13"/>
      <c r="D833" s="13"/>
    </row>
    <row r="834" spans="1:4" ht="13">
      <c r="A834" s="14"/>
      <c r="B834" s="13"/>
      <c r="C834" s="13"/>
      <c r="D834" s="13"/>
    </row>
    <row r="835" spans="1:4" ht="13">
      <c r="A835" s="14"/>
      <c r="B835" s="13"/>
      <c r="C835" s="13"/>
      <c r="D835" s="13"/>
    </row>
    <row r="836" spans="1:4" ht="13">
      <c r="A836" s="14"/>
      <c r="B836" s="13"/>
      <c r="C836" s="13"/>
      <c r="D836" s="13"/>
    </row>
    <row r="837" spans="1:4" ht="13">
      <c r="A837" s="14"/>
      <c r="B837" s="13"/>
      <c r="C837" s="13"/>
      <c r="D837" s="13"/>
    </row>
    <row r="838" spans="1:4" ht="13">
      <c r="A838" s="14"/>
      <c r="B838" s="13"/>
      <c r="C838" s="13"/>
      <c r="D838" s="13"/>
    </row>
    <row r="839" spans="1:4" ht="13">
      <c r="A839" s="14"/>
      <c r="B839" s="13"/>
      <c r="C839" s="13"/>
      <c r="D839" s="13"/>
    </row>
    <row r="840" spans="1:4" ht="13">
      <c r="A840" s="14"/>
      <c r="B840" s="13"/>
      <c r="C840" s="13"/>
      <c r="D840" s="13"/>
    </row>
    <row r="841" spans="1:4" ht="13">
      <c r="A841" s="14"/>
      <c r="B841" s="13"/>
      <c r="C841" s="13"/>
      <c r="D841" s="13"/>
    </row>
    <row r="842" spans="1:4" ht="13">
      <c r="A842" s="14"/>
      <c r="B842" s="13"/>
      <c r="C842" s="13"/>
      <c r="D842" s="13"/>
    </row>
    <row r="843" spans="1:4" ht="13">
      <c r="A843" s="14"/>
      <c r="B843" s="13"/>
      <c r="C843" s="13"/>
      <c r="D843" s="13"/>
    </row>
    <row r="844" spans="1:4" ht="13">
      <c r="A844" s="14"/>
      <c r="B844" s="13"/>
      <c r="C844" s="13"/>
      <c r="D844" s="13"/>
    </row>
    <row r="845" spans="1:4" ht="13">
      <c r="A845" s="14"/>
      <c r="B845" s="13"/>
      <c r="C845" s="13"/>
      <c r="D845" s="13"/>
    </row>
    <row r="846" spans="1:4" ht="13">
      <c r="A846" s="14"/>
      <c r="B846" s="13"/>
      <c r="C846" s="13"/>
      <c r="D846" s="13"/>
    </row>
    <row r="847" spans="1:4" ht="13">
      <c r="A847" s="14"/>
      <c r="B847" s="13"/>
      <c r="C847" s="13"/>
      <c r="D847" s="13"/>
    </row>
    <row r="848" spans="1:4" ht="13">
      <c r="A848" s="14"/>
      <c r="B848" s="13"/>
      <c r="C848" s="13"/>
      <c r="D848" s="13"/>
    </row>
    <row r="849" spans="1:4" ht="13">
      <c r="A849" s="14"/>
      <c r="B849" s="13"/>
      <c r="C849" s="13"/>
      <c r="D849" s="13"/>
    </row>
    <row r="850" spans="1:4" ht="13">
      <c r="A850" s="14"/>
      <c r="B850" s="13"/>
      <c r="C850" s="13"/>
      <c r="D850" s="13"/>
    </row>
    <row r="851" spans="1:4" ht="13">
      <c r="A851" s="14"/>
      <c r="B851" s="13"/>
      <c r="C851" s="13"/>
      <c r="D851" s="13"/>
    </row>
    <row r="852" spans="1:4" ht="13">
      <c r="A852" s="14"/>
      <c r="B852" s="13"/>
      <c r="C852" s="13"/>
      <c r="D852" s="13"/>
    </row>
    <row r="853" spans="1:4" ht="13">
      <c r="A853" s="14"/>
      <c r="B853" s="13"/>
      <c r="C853" s="13"/>
      <c r="D853" s="13"/>
    </row>
    <row r="854" spans="1:4" ht="13">
      <c r="A854" s="14"/>
      <c r="B854" s="13"/>
      <c r="C854" s="13"/>
      <c r="D854" s="13"/>
    </row>
    <row r="855" spans="1:4" ht="13">
      <c r="A855" s="14"/>
      <c r="B855" s="13"/>
      <c r="C855" s="13"/>
      <c r="D855" s="13"/>
    </row>
    <row r="856" spans="1:4" ht="13">
      <c r="A856" s="14"/>
      <c r="B856" s="13"/>
      <c r="C856" s="13"/>
      <c r="D856" s="13"/>
    </row>
    <row r="857" spans="1:4" ht="13">
      <c r="A857" s="14"/>
      <c r="B857" s="13"/>
      <c r="C857" s="13"/>
      <c r="D857" s="13"/>
    </row>
    <row r="858" spans="1:4" ht="13">
      <c r="A858" s="14"/>
      <c r="B858" s="13"/>
      <c r="C858" s="13"/>
      <c r="D858" s="13"/>
    </row>
    <row r="859" spans="1:4" ht="13">
      <c r="A859" s="14"/>
      <c r="B859" s="13"/>
      <c r="C859" s="13"/>
      <c r="D859" s="13"/>
    </row>
    <row r="860" spans="1:4" ht="13">
      <c r="A860" s="14"/>
      <c r="B860" s="13"/>
      <c r="C860" s="13"/>
      <c r="D860" s="13"/>
    </row>
    <row r="861" spans="1:4" ht="13">
      <c r="A861" s="14"/>
      <c r="B861" s="13"/>
      <c r="C861" s="13"/>
      <c r="D861" s="13"/>
    </row>
    <row r="862" spans="1:4" ht="13">
      <c r="A862" s="14"/>
      <c r="B862" s="13"/>
      <c r="C862" s="13"/>
      <c r="D862" s="13"/>
    </row>
    <row r="863" spans="1:4" ht="13">
      <c r="A863" s="14"/>
      <c r="B863" s="13"/>
      <c r="C863" s="13"/>
      <c r="D863" s="13"/>
    </row>
    <row r="864" spans="1:4" ht="13">
      <c r="A864" s="14"/>
      <c r="B864" s="13"/>
      <c r="C864" s="13"/>
      <c r="D864" s="13"/>
    </row>
    <row r="865" spans="1:4" ht="13">
      <c r="A865" s="14"/>
      <c r="B865" s="13"/>
      <c r="C865" s="13"/>
      <c r="D865" s="13"/>
    </row>
    <row r="866" spans="1:4" ht="13">
      <c r="A866" s="14"/>
      <c r="B866" s="13"/>
      <c r="C866" s="13"/>
      <c r="D866" s="13"/>
    </row>
    <row r="867" spans="1:4" ht="13">
      <c r="A867" s="14"/>
      <c r="B867" s="13"/>
      <c r="C867" s="13"/>
      <c r="D867" s="13"/>
    </row>
    <row r="868" spans="1:4" ht="13">
      <c r="A868" s="14"/>
      <c r="B868" s="13"/>
      <c r="C868" s="13"/>
      <c r="D868" s="13"/>
    </row>
    <row r="869" spans="1:4" ht="13">
      <c r="A869" s="14"/>
      <c r="B869" s="13"/>
      <c r="C869" s="13"/>
      <c r="D869" s="13"/>
    </row>
    <row r="870" spans="1:4" ht="13">
      <c r="A870" s="14"/>
      <c r="B870" s="13"/>
      <c r="C870" s="13"/>
      <c r="D870" s="13"/>
    </row>
    <row r="871" spans="1:4" ht="13">
      <c r="A871" s="14"/>
      <c r="B871" s="13"/>
      <c r="C871" s="13"/>
      <c r="D871" s="13"/>
    </row>
    <row r="872" spans="1:4" ht="13">
      <c r="A872" s="14"/>
      <c r="B872" s="13"/>
      <c r="C872" s="13"/>
      <c r="D872" s="13"/>
    </row>
    <row r="873" spans="1:4" ht="13">
      <c r="A873" s="14"/>
      <c r="B873" s="13"/>
      <c r="C873" s="13"/>
      <c r="D873" s="13"/>
    </row>
    <row r="874" spans="1:4" ht="13">
      <c r="A874" s="14"/>
      <c r="B874" s="13"/>
      <c r="C874" s="13"/>
      <c r="D874" s="13"/>
    </row>
    <row r="875" spans="1:4" ht="13">
      <c r="A875" s="14"/>
      <c r="B875" s="13"/>
      <c r="C875" s="13"/>
      <c r="D875" s="13"/>
    </row>
    <row r="876" spans="1:4" ht="13">
      <c r="A876" s="14"/>
      <c r="B876" s="13"/>
      <c r="C876" s="13"/>
      <c r="D876" s="13"/>
    </row>
    <row r="877" spans="1:4" ht="13">
      <c r="A877" s="14"/>
      <c r="B877" s="13"/>
      <c r="C877" s="13"/>
      <c r="D877" s="13"/>
    </row>
    <row r="878" spans="1:4" ht="13">
      <c r="A878" s="14"/>
      <c r="B878" s="13"/>
      <c r="C878" s="13"/>
      <c r="D878" s="13"/>
    </row>
    <row r="879" spans="1:4" ht="13">
      <c r="A879" s="14"/>
      <c r="B879" s="13"/>
      <c r="C879" s="13"/>
      <c r="D879" s="13"/>
    </row>
    <row r="880" spans="1:4" ht="13">
      <c r="A880" s="14"/>
      <c r="B880" s="13"/>
      <c r="C880" s="13"/>
      <c r="D880" s="13"/>
    </row>
    <row r="881" spans="1:4" ht="13">
      <c r="A881" s="14"/>
      <c r="B881" s="13"/>
      <c r="C881" s="13"/>
      <c r="D881" s="13"/>
    </row>
    <row r="882" spans="1:4" ht="13">
      <c r="A882" s="14"/>
      <c r="B882" s="13"/>
      <c r="C882" s="13"/>
      <c r="D882" s="13"/>
    </row>
    <row r="883" spans="1:4" ht="13">
      <c r="A883" s="14"/>
      <c r="B883" s="13"/>
      <c r="C883" s="13"/>
      <c r="D883" s="13"/>
    </row>
    <row r="884" spans="1:4" ht="13">
      <c r="A884" s="14"/>
      <c r="B884" s="13"/>
      <c r="C884" s="13"/>
      <c r="D884" s="13"/>
    </row>
    <row r="885" spans="1:4" ht="13">
      <c r="A885" s="14"/>
      <c r="B885" s="13"/>
      <c r="C885" s="13"/>
      <c r="D885" s="13"/>
    </row>
    <row r="886" spans="1:4" ht="13">
      <c r="A886" s="14"/>
      <c r="B886" s="13"/>
      <c r="C886" s="13"/>
      <c r="D886" s="13"/>
    </row>
    <row r="887" spans="1:4" ht="13">
      <c r="A887" s="14"/>
      <c r="B887" s="13"/>
      <c r="C887" s="13"/>
      <c r="D887" s="13"/>
    </row>
    <row r="888" spans="1:4" ht="13">
      <c r="A888" s="14"/>
      <c r="B888" s="13"/>
      <c r="C888" s="13"/>
      <c r="D888" s="13"/>
    </row>
    <row r="889" spans="1:4" ht="13">
      <c r="A889" s="14"/>
      <c r="B889" s="13"/>
      <c r="C889" s="13"/>
      <c r="D889" s="13"/>
    </row>
    <row r="890" spans="1:4" ht="13">
      <c r="A890" s="14"/>
      <c r="B890" s="13"/>
      <c r="C890" s="13"/>
      <c r="D890" s="13"/>
    </row>
    <row r="891" spans="1:4" ht="13">
      <c r="A891" s="14"/>
      <c r="B891" s="13"/>
      <c r="C891" s="13"/>
      <c r="D891" s="13"/>
    </row>
    <row r="892" spans="1:4" ht="13">
      <c r="A892" s="14"/>
      <c r="B892" s="13"/>
      <c r="C892" s="13"/>
      <c r="D892" s="13"/>
    </row>
    <row r="893" spans="1:4" ht="13">
      <c r="A893" s="14"/>
      <c r="B893" s="13"/>
      <c r="C893" s="13"/>
      <c r="D893" s="13"/>
    </row>
    <row r="894" spans="1:4" ht="13">
      <c r="A894" s="14"/>
      <c r="B894" s="13"/>
      <c r="C894" s="13"/>
      <c r="D894" s="13"/>
    </row>
    <row r="895" spans="1:4" ht="13">
      <c r="A895" s="14"/>
      <c r="B895" s="13"/>
      <c r="C895" s="13"/>
      <c r="D895" s="13"/>
    </row>
    <row r="896" spans="1:4" ht="13">
      <c r="A896" s="14"/>
      <c r="B896" s="13"/>
      <c r="C896" s="13"/>
      <c r="D896" s="13"/>
    </row>
    <row r="897" spans="1:4" ht="13">
      <c r="A897" s="14"/>
      <c r="B897" s="13"/>
      <c r="C897" s="13"/>
      <c r="D897" s="13"/>
    </row>
    <row r="898" spans="1:4" ht="13">
      <c r="A898" s="14"/>
      <c r="B898" s="13"/>
      <c r="C898" s="13"/>
      <c r="D898" s="13"/>
    </row>
    <row r="899" spans="1:4" ht="13">
      <c r="A899" s="14"/>
      <c r="B899" s="13"/>
      <c r="C899" s="13"/>
      <c r="D899" s="13"/>
    </row>
    <row r="900" spans="1:4" ht="13">
      <c r="A900" s="14"/>
      <c r="B900" s="13"/>
      <c r="C900" s="13"/>
      <c r="D900" s="13"/>
    </row>
    <row r="901" spans="1:4" ht="13">
      <c r="A901" s="14"/>
      <c r="B901" s="13"/>
      <c r="C901" s="13"/>
      <c r="D901" s="13"/>
    </row>
    <row r="902" spans="1:4" ht="13">
      <c r="A902" s="14"/>
      <c r="B902" s="13"/>
      <c r="C902" s="13"/>
      <c r="D902" s="13"/>
    </row>
    <row r="903" spans="1:4" ht="13">
      <c r="A903" s="14"/>
      <c r="B903" s="13"/>
      <c r="C903" s="13"/>
      <c r="D903" s="13"/>
    </row>
    <row r="904" spans="1:4" ht="13">
      <c r="A904" s="14"/>
      <c r="B904" s="13"/>
      <c r="C904" s="13"/>
      <c r="D904" s="13"/>
    </row>
    <row r="905" spans="1:4" ht="13">
      <c r="A905" s="14"/>
      <c r="B905" s="13"/>
      <c r="C905" s="13"/>
      <c r="D905" s="13"/>
    </row>
    <row r="906" spans="1:4" ht="13">
      <c r="A906" s="14"/>
      <c r="B906" s="13"/>
      <c r="C906" s="13"/>
      <c r="D906" s="13"/>
    </row>
    <row r="907" spans="1:4" ht="13">
      <c r="A907" s="14"/>
      <c r="B907" s="13"/>
      <c r="C907" s="13"/>
      <c r="D907" s="13"/>
    </row>
    <row r="908" spans="1:4" ht="13">
      <c r="A908" s="14"/>
      <c r="B908" s="13"/>
      <c r="C908" s="13"/>
      <c r="D908" s="13"/>
    </row>
    <row r="909" spans="1:4" ht="13">
      <c r="A909" s="14"/>
      <c r="B909" s="13"/>
      <c r="C909" s="13"/>
      <c r="D909" s="13"/>
    </row>
    <row r="910" spans="1:4" ht="13">
      <c r="A910" s="14"/>
      <c r="B910" s="13"/>
      <c r="C910" s="13"/>
      <c r="D910" s="13"/>
    </row>
    <row r="911" spans="1:4" ht="13">
      <c r="A911" s="14"/>
      <c r="B911" s="13"/>
      <c r="C911" s="13"/>
      <c r="D911" s="13"/>
    </row>
    <row r="912" spans="1:4" ht="13">
      <c r="A912" s="14"/>
      <c r="B912" s="13"/>
      <c r="C912" s="13"/>
      <c r="D912" s="13"/>
    </row>
    <row r="913" spans="1:4" ht="13">
      <c r="A913" s="14"/>
      <c r="B913" s="13"/>
      <c r="C913" s="13"/>
      <c r="D913" s="13"/>
    </row>
    <row r="914" spans="1:4" ht="13">
      <c r="A914" s="14"/>
      <c r="B914" s="13"/>
      <c r="C914" s="13"/>
      <c r="D914" s="13"/>
    </row>
    <row r="915" spans="1:4" ht="13">
      <c r="A915" s="14"/>
      <c r="B915" s="13"/>
      <c r="C915" s="13"/>
      <c r="D915" s="13"/>
    </row>
    <row r="916" spans="1:4" ht="13">
      <c r="A916" s="14"/>
      <c r="B916" s="13"/>
      <c r="C916" s="13"/>
      <c r="D916" s="13"/>
    </row>
    <row r="917" spans="1:4" ht="13">
      <c r="A917" s="14"/>
      <c r="B917" s="13"/>
      <c r="C917" s="13"/>
      <c r="D917" s="13"/>
    </row>
    <row r="918" spans="1:4" ht="13">
      <c r="A918" s="14"/>
      <c r="B918" s="13"/>
      <c r="C918" s="13"/>
      <c r="D918" s="13"/>
    </row>
    <row r="919" spans="1:4" ht="13">
      <c r="A919" s="14"/>
      <c r="B919" s="13"/>
      <c r="C919" s="13"/>
      <c r="D919" s="13"/>
    </row>
    <row r="920" spans="1:4" ht="13">
      <c r="A920" s="14"/>
      <c r="B920" s="13"/>
      <c r="C920" s="13"/>
      <c r="D920" s="13"/>
    </row>
    <row r="921" spans="1:4" ht="13">
      <c r="A921" s="14"/>
      <c r="B921" s="13"/>
      <c r="C921" s="13"/>
      <c r="D921" s="13"/>
    </row>
    <row r="922" spans="1:4" ht="13">
      <c r="A922" s="14"/>
      <c r="B922" s="13"/>
      <c r="C922" s="13"/>
      <c r="D922" s="13"/>
    </row>
    <row r="923" spans="1:4" ht="13">
      <c r="A923" s="14"/>
      <c r="B923" s="13"/>
      <c r="C923" s="13"/>
      <c r="D923" s="13"/>
    </row>
    <row r="924" spans="1:4" ht="13">
      <c r="A924" s="14"/>
      <c r="B924" s="13"/>
      <c r="C924" s="13"/>
      <c r="D924" s="13"/>
    </row>
    <row r="925" spans="1:4" ht="13">
      <c r="A925" s="14"/>
      <c r="B925" s="13"/>
      <c r="C925" s="13"/>
      <c r="D925" s="13"/>
    </row>
    <row r="926" spans="1:4" ht="13">
      <c r="A926" s="14"/>
      <c r="B926" s="13"/>
      <c r="C926" s="13"/>
      <c r="D926" s="13"/>
    </row>
    <row r="927" spans="1:4" ht="13">
      <c r="A927" s="14"/>
      <c r="B927" s="13"/>
      <c r="C927" s="13"/>
      <c r="D927" s="13"/>
    </row>
    <row r="928" spans="1:4" ht="13">
      <c r="A928" s="14"/>
      <c r="B928" s="13"/>
      <c r="C928" s="13"/>
      <c r="D928" s="13"/>
    </row>
    <row r="929" spans="1:4" ht="13">
      <c r="A929" s="14"/>
      <c r="B929" s="13"/>
      <c r="C929" s="13"/>
      <c r="D929" s="13"/>
    </row>
    <row r="930" spans="1:4" ht="13">
      <c r="A930" s="14"/>
      <c r="B930" s="13"/>
      <c r="C930" s="13"/>
      <c r="D930" s="13"/>
    </row>
    <row r="931" spans="1:4" ht="13">
      <c r="A931" s="14"/>
      <c r="B931" s="13"/>
      <c r="C931" s="13"/>
      <c r="D931" s="13"/>
    </row>
    <row r="932" spans="1:4" ht="13">
      <c r="A932" s="14"/>
      <c r="B932" s="13"/>
      <c r="C932" s="13"/>
      <c r="D932" s="13"/>
    </row>
    <row r="933" spans="1:4" ht="13">
      <c r="A933" s="14"/>
      <c r="B933" s="13"/>
      <c r="C933" s="13"/>
      <c r="D933" s="13"/>
    </row>
    <row r="934" spans="1:4" ht="13">
      <c r="A934" s="14"/>
      <c r="B934" s="13"/>
      <c r="C934" s="13"/>
      <c r="D934" s="13"/>
    </row>
    <row r="935" spans="1:4" ht="13">
      <c r="A935" s="14"/>
      <c r="B935" s="13"/>
      <c r="C935" s="13"/>
      <c r="D935" s="13"/>
    </row>
    <row r="936" spans="1:4" ht="13">
      <c r="A936" s="14"/>
      <c r="B936" s="13"/>
      <c r="C936" s="13"/>
      <c r="D936" s="13"/>
    </row>
    <row r="937" spans="1:4" ht="13">
      <c r="A937" s="14"/>
      <c r="B937" s="13"/>
      <c r="C937" s="13"/>
      <c r="D937" s="13"/>
    </row>
    <row r="938" spans="1:4" ht="13">
      <c r="A938" s="14"/>
      <c r="B938" s="13"/>
      <c r="C938" s="13"/>
      <c r="D938" s="13"/>
    </row>
    <row r="939" spans="1:4" ht="13">
      <c r="A939" s="14"/>
      <c r="B939" s="13"/>
      <c r="C939" s="13"/>
      <c r="D939" s="13"/>
    </row>
    <row r="940" spans="1:4" ht="13">
      <c r="A940" s="14"/>
      <c r="B940" s="13"/>
      <c r="C940" s="13"/>
      <c r="D940" s="13"/>
    </row>
    <row r="941" spans="1:4" ht="13">
      <c r="A941" s="14"/>
      <c r="B941" s="13"/>
      <c r="C941" s="13"/>
      <c r="D941" s="13"/>
    </row>
    <row r="942" spans="1:4" ht="13">
      <c r="A942" s="14"/>
      <c r="B942" s="13"/>
      <c r="C942" s="13"/>
      <c r="D942" s="13"/>
    </row>
    <row r="943" spans="1:4" ht="13">
      <c r="A943" s="14"/>
      <c r="B943" s="13"/>
      <c r="C943" s="13"/>
      <c r="D943" s="13"/>
    </row>
    <row r="944" spans="1:4" ht="13">
      <c r="A944" s="14"/>
      <c r="B944" s="13"/>
      <c r="C944" s="13"/>
      <c r="D944" s="13"/>
    </row>
    <row r="945" spans="1:4" ht="13">
      <c r="A945" s="14"/>
      <c r="B945" s="13"/>
      <c r="C945" s="13"/>
      <c r="D945" s="13"/>
    </row>
    <row r="946" spans="1:4" ht="13">
      <c r="A946" s="14"/>
      <c r="B946" s="13"/>
      <c r="C946" s="13"/>
      <c r="D946" s="13"/>
    </row>
    <row r="947" spans="1:4" ht="13">
      <c r="A947" s="14"/>
      <c r="B947" s="13"/>
      <c r="C947" s="13"/>
      <c r="D947" s="13"/>
    </row>
    <row r="948" spans="1:4" ht="13">
      <c r="A948" s="14"/>
      <c r="B948" s="13"/>
      <c r="C948" s="13"/>
      <c r="D948" s="13"/>
    </row>
    <row r="949" spans="1:4" ht="13">
      <c r="A949" s="14"/>
      <c r="B949" s="13"/>
      <c r="C949" s="13"/>
      <c r="D949" s="13"/>
    </row>
    <row r="950" spans="1:4" ht="13">
      <c r="A950" s="14"/>
      <c r="B950" s="13"/>
      <c r="C950" s="13"/>
      <c r="D950" s="13"/>
    </row>
    <row r="951" spans="1:4" ht="13">
      <c r="A951" s="14"/>
      <c r="B951" s="13"/>
      <c r="C951" s="13"/>
      <c r="D951" s="13"/>
    </row>
    <row r="952" spans="1:4" ht="13">
      <c r="A952" s="14"/>
      <c r="B952" s="13"/>
      <c r="C952" s="13"/>
      <c r="D952" s="13"/>
    </row>
    <row r="953" spans="1:4" ht="13">
      <c r="A953" s="14"/>
      <c r="B953" s="13"/>
      <c r="C953" s="13"/>
      <c r="D953" s="13"/>
    </row>
    <row r="954" spans="1:4" ht="13">
      <c r="A954" s="14"/>
      <c r="B954" s="13"/>
      <c r="C954" s="13"/>
      <c r="D954" s="13"/>
    </row>
    <row r="955" spans="1:4" ht="13">
      <c r="A955" s="14"/>
      <c r="B955" s="13"/>
      <c r="C955" s="13"/>
      <c r="D955" s="13"/>
    </row>
    <row r="956" spans="1:4" ht="13">
      <c r="A956" s="14"/>
      <c r="B956" s="13"/>
      <c r="C956" s="13"/>
      <c r="D956" s="13"/>
    </row>
    <row r="957" spans="1:4" ht="13">
      <c r="A957" s="14"/>
      <c r="B957" s="13"/>
      <c r="C957" s="13"/>
      <c r="D957" s="13"/>
    </row>
    <row r="958" spans="1:4" ht="13">
      <c r="A958" s="14"/>
      <c r="B958" s="13"/>
      <c r="C958" s="13"/>
      <c r="D958" s="13"/>
    </row>
    <row r="959" spans="1:4" ht="13">
      <c r="A959" s="14"/>
      <c r="B959" s="13"/>
      <c r="C959" s="13"/>
      <c r="D959" s="13"/>
    </row>
    <row r="960" spans="1:4" ht="13">
      <c r="A960" s="14"/>
      <c r="B960" s="13"/>
      <c r="C960" s="13"/>
      <c r="D960" s="13"/>
    </row>
    <row r="961" spans="1:4" ht="13">
      <c r="A961" s="14"/>
      <c r="B961" s="13"/>
      <c r="C961" s="13"/>
      <c r="D961" s="13"/>
    </row>
    <row r="962" spans="1:4" ht="13">
      <c r="A962" s="14"/>
      <c r="B962" s="13"/>
      <c r="C962" s="13"/>
      <c r="D962" s="13"/>
    </row>
    <row r="963" spans="1:4" ht="13">
      <c r="A963" s="14"/>
      <c r="B963" s="13"/>
      <c r="C963" s="13"/>
      <c r="D963" s="13"/>
    </row>
    <row r="964" spans="1:4" ht="13">
      <c r="A964" s="14"/>
      <c r="B964" s="13"/>
      <c r="C964" s="13"/>
      <c r="D964" s="13"/>
    </row>
    <row r="965" spans="1:4" ht="13">
      <c r="A965" s="14"/>
      <c r="B965" s="13"/>
      <c r="C965" s="13"/>
      <c r="D965" s="13"/>
    </row>
    <row r="966" spans="1:4" ht="13">
      <c r="A966" s="14"/>
      <c r="B966" s="13"/>
      <c r="C966" s="13"/>
      <c r="D966" s="13"/>
    </row>
    <row r="967" spans="1:4" ht="13">
      <c r="A967" s="14"/>
      <c r="B967" s="13"/>
      <c r="C967" s="13"/>
      <c r="D967" s="13"/>
    </row>
    <row r="968" spans="1:4" ht="13">
      <c r="A968" s="14"/>
      <c r="B968" s="13"/>
      <c r="C968" s="13"/>
      <c r="D968" s="13"/>
    </row>
    <row r="969" spans="1:4" ht="13">
      <c r="A969" s="14"/>
      <c r="B969" s="13"/>
      <c r="C969" s="13"/>
      <c r="D969" s="13"/>
    </row>
    <row r="970" spans="1:4" ht="13">
      <c r="A970" s="14"/>
      <c r="B970" s="13"/>
      <c r="C970" s="13"/>
      <c r="D970" s="13"/>
    </row>
    <row r="971" spans="1:4" ht="13">
      <c r="A971" s="14"/>
      <c r="B971" s="13"/>
      <c r="C971" s="13"/>
      <c r="D971" s="13"/>
    </row>
    <row r="972" spans="1:4" ht="13">
      <c r="A972" s="14"/>
      <c r="B972" s="13"/>
      <c r="C972" s="13"/>
      <c r="D972" s="13"/>
    </row>
    <row r="973" spans="1:4" ht="13">
      <c r="A973" s="14"/>
      <c r="B973" s="13"/>
      <c r="C973" s="13"/>
      <c r="D973" s="13"/>
    </row>
    <row r="974" spans="1:4" ht="13">
      <c r="A974" s="14"/>
      <c r="B974" s="13"/>
      <c r="C974" s="13"/>
      <c r="D974" s="13"/>
    </row>
    <row r="975" spans="1:4" ht="13">
      <c r="A975" s="14"/>
      <c r="B975" s="13"/>
      <c r="C975" s="13"/>
      <c r="D975" s="13"/>
    </row>
    <row r="976" spans="1:4" ht="13">
      <c r="A976" s="14"/>
      <c r="B976" s="13"/>
      <c r="C976" s="13"/>
      <c r="D976" s="13"/>
    </row>
    <row r="977" spans="1:4" ht="13">
      <c r="A977" s="14"/>
      <c r="B977" s="13"/>
      <c r="C977" s="13"/>
      <c r="D977" s="13"/>
    </row>
    <row r="978" spans="1:4" ht="13">
      <c r="A978" s="14"/>
      <c r="B978" s="13"/>
      <c r="C978" s="13"/>
      <c r="D978" s="13"/>
    </row>
    <row r="979" spans="1:4" ht="13">
      <c r="A979" s="14"/>
      <c r="B979" s="13"/>
      <c r="C979" s="13"/>
      <c r="D979" s="13"/>
    </row>
    <row r="980" spans="1:4" ht="13">
      <c r="A980" s="14"/>
      <c r="B980" s="13"/>
      <c r="C980" s="13"/>
      <c r="D980" s="13"/>
    </row>
    <row r="981" spans="1:4" ht="13">
      <c r="A981" s="14"/>
      <c r="B981" s="13"/>
      <c r="C981" s="13"/>
      <c r="D981" s="13"/>
    </row>
    <row r="982" spans="1:4" ht="13">
      <c r="A982" s="14"/>
      <c r="B982" s="13"/>
      <c r="C982" s="13"/>
      <c r="D982" s="13"/>
    </row>
    <row r="983" spans="1:4" ht="13">
      <c r="A983" s="14"/>
      <c r="B983" s="13"/>
      <c r="C983" s="13"/>
      <c r="D983" s="13"/>
    </row>
    <row r="984" spans="1:4" ht="13">
      <c r="A984" s="14"/>
      <c r="B984" s="13"/>
      <c r="C984" s="13"/>
      <c r="D984" s="13"/>
    </row>
    <row r="985" spans="1:4" ht="13">
      <c r="A985" s="14"/>
      <c r="B985" s="13"/>
      <c r="C985" s="13"/>
      <c r="D985" s="13"/>
    </row>
    <row r="986" spans="1:4" ht="13">
      <c r="A986" s="14"/>
      <c r="B986" s="13"/>
      <c r="C986" s="13"/>
      <c r="D986" s="13"/>
    </row>
    <row r="987" spans="1:4" ht="13">
      <c r="A987" s="14"/>
      <c r="B987" s="13"/>
      <c r="C987" s="13"/>
      <c r="D987" s="13"/>
    </row>
    <row r="988" spans="1:4" ht="13">
      <c r="A988" s="14"/>
      <c r="B988" s="13"/>
      <c r="C988" s="13"/>
      <c r="D988" s="13"/>
    </row>
    <row r="989" spans="1:4" ht="13">
      <c r="A989" s="14"/>
      <c r="B989" s="13"/>
      <c r="C989" s="13"/>
      <c r="D989" s="13"/>
    </row>
    <row r="990" spans="1:4" ht="13">
      <c r="A990" s="14"/>
      <c r="B990" s="13"/>
      <c r="C990" s="13"/>
      <c r="D990" s="13"/>
    </row>
    <row r="991" spans="1:4" ht="13">
      <c r="A991" s="14"/>
      <c r="B991" s="13"/>
      <c r="C991" s="13"/>
      <c r="D991" s="13"/>
    </row>
    <row r="992" spans="1:4" ht="13">
      <c r="A992" s="14"/>
      <c r="B992" s="13"/>
      <c r="C992" s="13"/>
      <c r="D992" s="13"/>
    </row>
    <row r="993" spans="1:4" ht="13">
      <c r="A993" s="14"/>
      <c r="B993" s="13"/>
      <c r="C993" s="13"/>
      <c r="D993" s="13"/>
    </row>
    <row r="994" spans="1:4" ht="13">
      <c r="A994" s="14"/>
      <c r="B994" s="13"/>
      <c r="C994" s="13"/>
      <c r="D994" s="13"/>
    </row>
    <row r="995" spans="1:4" ht="13">
      <c r="A995" s="14"/>
      <c r="B995" s="13"/>
      <c r="C995" s="13"/>
      <c r="D995" s="13"/>
    </row>
    <row r="996" spans="1:4" ht="13">
      <c r="A996" s="14"/>
      <c r="B996" s="13"/>
      <c r="C996" s="13"/>
      <c r="D996" s="13"/>
    </row>
    <row r="997" spans="1:4" ht="13">
      <c r="A997" s="14"/>
      <c r="B997" s="13"/>
      <c r="C997" s="13"/>
      <c r="D997" s="13"/>
    </row>
    <row r="998" spans="1:4" ht="13">
      <c r="A998" s="14"/>
      <c r="B998" s="13"/>
      <c r="C998" s="13"/>
      <c r="D998" s="13"/>
    </row>
    <row r="999" spans="1:4" ht="13">
      <c r="A999" s="14"/>
      <c r="B999" s="13"/>
      <c r="C999" s="13"/>
      <c r="D999" s="13"/>
    </row>
    <row r="1000" spans="1:4" ht="13">
      <c r="A1000" s="14"/>
      <c r="B1000" s="13"/>
      <c r="C1000" s="13"/>
      <c r="D1000" s="13"/>
    </row>
    <row r="1001" spans="1:4" ht="13">
      <c r="A1001" s="14"/>
      <c r="B1001" s="13"/>
      <c r="C1001" s="13"/>
      <c r="D1001" s="13"/>
    </row>
    <row r="1002" spans="1:4" ht="13">
      <c r="A1002" s="14"/>
      <c r="B1002" s="13"/>
      <c r="C1002" s="13"/>
      <c r="D1002" s="13"/>
    </row>
    <row r="1003" spans="1:4" ht="13">
      <c r="A1003" s="14"/>
      <c r="B1003" s="13"/>
      <c r="C1003" s="13"/>
      <c r="D1003" s="13"/>
    </row>
    <row r="1004" spans="1:4" ht="13">
      <c r="A1004" s="14"/>
      <c r="B1004" s="13"/>
      <c r="C1004" s="13"/>
      <c r="D1004" s="13"/>
    </row>
    <row r="1005" spans="1:4" ht="13">
      <c r="A1005" s="14"/>
      <c r="B1005" s="13"/>
      <c r="C1005" s="13"/>
      <c r="D1005" s="13"/>
    </row>
    <row r="1006" spans="1:4" ht="13">
      <c r="A1006" s="14"/>
      <c r="B1006" s="13"/>
      <c r="C1006" s="13"/>
      <c r="D1006" s="13"/>
    </row>
    <row r="1007" spans="1:4" ht="13">
      <c r="A1007" s="14"/>
      <c r="B1007" s="13"/>
      <c r="C1007" s="13"/>
      <c r="D1007" s="13"/>
    </row>
    <row r="1008" spans="1:4" ht="13">
      <c r="A1008" s="14"/>
      <c r="B1008" s="13"/>
      <c r="C1008" s="13"/>
      <c r="D1008" s="13"/>
    </row>
    <row r="1009" spans="1:4" ht="13">
      <c r="A1009" s="14"/>
      <c r="B1009" s="13"/>
      <c r="C1009" s="13"/>
      <c r="D1009" s="13"/>
    </row>
    <row r="1010" spans="1:4" ht="13">
      <c r="A1010" s="14"/>
      <c r="B1010" s="13"/>
      <c r="C1010" s="13"/>
      <c r="D1010" s="13"/>
    </row>
    <row r="1011" spans="1:4" ht="13">
      <c r="A1011" s="14"/>
      <c r="B1011" s="13"/>
      <c r="C1011" s="13"/>
      <c r="D1011" s="13"/>
    </row>
    <row r="1012" spans="1:4" ht="13">
      <c r="A1012" s="14"/>
      <c r="B1012" s="13"/>
      <c r="C1012" s="13"/>
      <c r="D1012" s="13"/>
    </row>
    <row r="1013" spans="1:4" ht="13">
      <c r="A1013" s="14"/>
      <c r="B1013" s="13"/>
      <c r="C1013" s="13"/>
      <c r="D1013" s="13"/>
    </row>
    <row r="1014" spans="1:4" ht="13">
      <c r="A1014" s="14"/>
      <c r="B1014" s="13"/>
      <c r="C1014" s="13"/>
      <c r="D1014" s="13"/>
    </row>
  </sheetData>
  <mergeCells count="1">
    <mergeCell ref="A1:D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P968"/>
  <sheetViews>
    <sheetView showGridLines="0" zoomScale="54" workbookViewId="0">
      <selection activeCell="M32" sqref="M32"/>
    </sheetView>
  </sheetViews>
  <sheetFormatPr defaultColWidth="14.453125" defaultRowHeight="15.75" customHeight="1"/>
  <cols>
    <col min="1" max="1" width="26.90625" customWidth="1"/>
    <col min="2" max="2" width="18.90625" customWidth="1"/>
    <col min="3" max="3" width="58.08984375" customWidth="1"/>
    <col min="4" max="4" width="7.08984375" customWidth="1"/>
    <col min="5" max="5" width="8.54296875" customWidth="1"/>
    <col min="6" max="6" width="9.453125" customWidth="1"/>
    <col min="7" max="7" width="12.54296875" customWidth="1"/>
    <col min="8" max="8" width="70" customWidth="1"/>
    <col min="9" max="9" width="36" customWidth="1"/>
    <col min="10" max="10" width="17.08984375" customWidth="1"/>
    <col min="11" max="11" width="17" customWidth="1"/>
    <col min="12" max="12" width="14.36328125" customWidth="1"/>
    <col min="13" max="13" width="22.54296875" customWidth="1"/>
    <col min="14" max="14" width="22.90625" customWidth="1"/>
    <col min="15" max="15" width="18.6328125" customWidth="1"/>
    <col min="16" max="16" width="37" customWidth="1"/>
    <col min="17" max="17" width="46.6328125" customWidth="1"/>
    <col min="18" max="18" width="19.54296875" customWidth="1"/>
    <col min="19" max="20" width="22" customWidth="1"/>
    <col min="21" max="21" width="59.453125" customWidth="1"/>
    <col min="22" max="22" width="58.90625" customWidth="1"/>
    <col min="23" max="23" width="59.453125" customWidth="1"/>
    <col min="24" max="24" width="56.6328125" customWidth="1"/>
    <col min="25" max="25" width="24.6328125" customWidth="1"/>
  </cols>
  <sheetData>
    <row r="1" spans="1:42" ht="70.25" customHeight="1">
      <c r="A1" s="326" t="s">
        <v>26</v>
      </c>
      <c r="B1" s="305"/>
      <c r="C1" s="306"/>
      <c r="D1" s="3"/>
      <c r="E1" s="3"/>
      <c r="F1" s="3"/>
      <c r="G1" s="3"/>
      <c r="H1" s="3"/>
      <c r="I1" s="3"/>
      <c r="J1" s="3"/>
      <c r="K1" s="3"/>
      <c r="L1" s="3"/>
      <c r="M1" s="3"/>
      <c r="N1" s="3"/>
      <c r="O1" s="3"/>
      <c r="P1" s="3"/>
      <c r="Q1" s="3"/>
      <c r="R1" s="3"/>
      <c r="S1" s="3"/>
      <c r="T1" s="3"/>
      <c r="U1" s="3"/>
      <c r="V1" s="3"/>
      <c r="W1" s="3"/>
      <c r="X1" s="3"/>
      <c r="Y1" s="14"/>
      <c r="Z1" s="14"/>
      <c r="AA1" s="14"/>
      <c r="AB1" s="14"/>
      <c r="AC1" s="14"/>
      <c r="AD1" s="14"/>
      <c r="AE1" s="14"/>
      <c r="AF1" s="14"/>
      <c r="AG1" s="14"/>
      <c r="AH1" s="14"/>
      <c r="AI1" s="14"/>
      <c r="AJ1" s="14"/>
      <c r="AK1" s="14"/>
      <c r="AL1" s="14"/>
      <c r="AM1" s="14"/>
      <c r="AN1" s="14"/>
      <c r="AO1" s="14"/>
      <c r="AP1" s="14"/>
    </row>
    <row r="2" spans="1:42" ht="13">
      <c r="A2" s="225" t="s">
        <v>27</v>
      </c>
      <c r="B2" s="225" t="s">
        <v>16</v>
      </c>
      <c r="C2" s="225" t="s">
        <v>28</v>
      </c>
      <c r="D2" s="213" t="s">
        <v>29</v>
      </c>
      <c r="E2" s="213" t="s">
        <v>30</v>
      </c>
      <c r="F2" s="213" t="s">
        <v>31</v>
      </c>
      <c r="G2" s="213" t="s">
        <v>32</v>
      </c>
      <c r="H2" s="213" t="s">
        <v>33</v>
      </c>
      <c r="I2" s="213" t="s">
        <v>34</v>
      </c>
      <c r="J2" s="213" t="s">
        <v>35</v>
      </c>
      <c r="K2" s="213" t="s">
        <v>36</v>
      </c>
      <c r="L2" s="213" t="s">
        <v>37</v>
      </c>
      <c r="M2" s="213" t="s">
        <v>38</v>
      </c>
      <c r="N2" s="213" t="s">
        <v>39</v>
      </c>
      <c r="O2" s="213" t="s">
        <v>40</v>
      </c>
      <c r="P2" s="213" t="s">
        <v>41</v>
      </c>
      <c r="Q2" s="213" t="s">
        <v>42</v>
      </c>
      <c r="R2" s="213" t="s">
        <v>43</v>
      </c>
      <c r="S2" s="213" t="s">
        <v>44</v>
      </c>
      <c r="T2" s="213" t="s">
        <v>45</v>
      </c>
      <c r="U2" s="213" t="s">
        <v>46</v>
      </c>
      <c r="V2" s="213" t="s">
        <v>47</v>
      </c>
      <c r="W2" s="213" t="s">
        <v>48</v>
      </c>
      <c r="X2" s="213" t="s">
        <v>49</v>
      </c>
      <c r="Y2" s="14"/>
      <c r="Z2" s="14"/>
      <c r="AA2" s="14"/>
      <c r="AB2" s="14"/>
      <c r="AC2" s="14"/>
      <c r="AD2" s="14"/>
      <c r="AE2" s="14"/>
      <c r="AF2" s="14"/>
      <c r="AG2" s="14"/>
      <c r="AH2" s="14"/>
      <c r="AI2" s="14"/>
      <c r="AJ2" s="14"/>
      <c r="AK2" s="14"/>
      <c r="AL2" s="14"/>
      <c r="AM2" s="14"/>
      <c r="AN2" s="14"/>
      <c r="AO2" s="14"/>
      <c r="AP2" s="14"/>
    </row>
    <row r="3" spans="1:42" ht="13">
      <c r="A3" s="218" t="s">
        <v>50</v>
      </c>
      <c r="B3" s="226" t="s">
        <v>51</v>
      </c>
      <c r="C3" s="226" t="str">
        <f>(B3&amp;" Talvivaate 1")</f>
        <v>Toimija 1 Talvivaate 1</v>
      </c>
      <c r="D3" s="222"/>
      <c r="E3" s="222"/>
      <c r="F3" s="227">
        <v>1</v>
      </c>
      <c r="G3" s="222" t="s">
        <v>52</v>
      </c>
      <c r="H3" s="228" t="s">
        <v>53</v>
      </c>
      <c r="I3" s="222"/>
      <c r="J3" s="227">
        <v>2</v>
      </c>
      <c r="K3" s="227">
        <v>2</v>
      </c>
      <c r="L3" s="222">
        <f t="shared" ref="L3:L13" si="0">AVERAGE(J3:K3)</f>
        <v>2</v>
      </c>
      <c r="M3" s="227">
        <v>0</v>
      </c>
      <c r="N3" s="227">
        <v>1</v>
      </c>
      <c r="O3" s="222">
        <f t="shared" ref="O3:O13" si="1">AVERAGE(M3:N3)</f>
        <v>0.5</v>
      </c>
      <c r="P3" s="229">
        <f>Lähtötiedot!F22/O3</f>
        <v>76.3</v>
      </c>
      <c r="Q3" s="230">
        <f>L3*Lähtötiedot!F26/P3</f>
        <v>15.228855096141764</v>
      </c>
      <c r="R3" s="231">
        <v>0.3</v>
      </c>
      <c r="S3" s="231">
        <v>0.7</v>
      </c>
      <c r="T3" s="231">
        <v>0</v>
      </c>
      <c r="U3" s="231">
        <v>0.5</v>
      </c>
      <c r="V3" s="231">
        <v>0.5</v>
      </c>
      <c r="W3" s="222"/>
      <c r="X3" s="222"/>
    </row>
    <row r="4" spans="1:42" ht="13">
      <c r="A4" s="218"/>
      <c r="B4" s="218"/>
      <c r="C4" s="226" t="str">
        <f>(B3&amp;" Talvivaate 2")</f>
        <v>Toimija 1 Talvivaate 2</v>
      </c>
      <c r="D4" s="222"/>
      <c r="E4" s="222"/>
      <c r="F4" s="227">
        <v>1</v>
      </c>
      <c r="G4" s="222" t="s">
        <v>52</v>
      </c>
      <c r="H4" s="228" t="s">
        <v>53</v>
      </c>
      <c r="I4" s="222"/>
      <c r="J4" s="227">
        <v>2</v>
      </c>
      <c r="K4" s="227">
        <v>2</v>
      </c>
      <c r="L4" s="222">
        <f t="shared" si="0"/>
        <v>2</v>
      </c>
      <c r="M4" s="227">
        <v>0</v>
      </c>
      <c r="N4" s="227">
        <v>1</v>
      </c>
      <c r="O4" s="222">
        <f t="shared" si="1"/>
        <v>0.5</v>
      </c>
      <c r="P4" s="229">
        <f>Lähtötiedot!F22/O4</f>
        <v>76.3</v>
      </c>
      <c r="Q4" s="230">
        <f>L4*Lähtötiedot!F26/P4</f>
        <v>15.228855096141764</v>
      </c>
      <c r="R4" s="231">
        <v>0.3</v>
      </c>
      <c r="S4" s="231">
        <v>0.7</v>
      </c>
      <c r="T4" s="231">
        <v>0</v>
      </c>
      <c r="U4" s="231">
        <v>0.5</v>
      </c>
      <c r="V4" s="231">
        <v>0.5</v>
      </c>
      <c r="W4" s="222"/>
      <c r="X4" s="222"/>
    </row>
    <row r="5" spans="1:42" ht="13">
      <c r="A5" s="218"/>
      <c r="B5" s="226" t="s">
        <v>54</v>
      </c>
      <c r="C5" s="226" t="str">
        <f>(B5)&amp;" vaate 1"</f>
        <v>Toimija 2 vaate 1</v>
      </c>
      <c r="D5" s="222"/>
      <c r="E5" s="222"/>
      <c r="F5" s="227">
        <v>1</v>
      </c>
      <c r="G5" s="222" t="s">
        <v>52</v>
      </c>
      <c r="H5" s="232"/>
      <c r="I5" s="233"/>
      <c r="J5" s="227">
        <v>0</v>
      </c>
      <c r="K5" s="227">
        <v>1</v>
      </c>
      <c r="L5" s="222">
        <f t="shared" si="0"/>
        <v>0.5</v>
      </c>
      <c r="M5" s="227">
        <v>3</v>
      </c>
      <c r="N5" s="227">
        <v>5</v>
      </c>
      <c r="O5" s="222">
        <f t="shared" si="1"/>
        <v>4</v>
      </c>
      <c r="P5" s="229">
        <f>Lähtötiedot!F22/O5</f>
        <v>9.5374999999999996</v>
      </c>
      <c r="Q5" s="230">
        <f>L5*Lähtötiedot!F23/P5</f>
        <v>101.06422018348626</v>
      </c>
      <c r="R5" s="231">
        <v>0.4</v>
      </c>
      <c r="S5" s="231">
        <v>0.4</v>
      </c>
      <c r="T5" s="231">
        <v>0.2</v>
      </c>
      <c r="U5" s="231">
        <v>0.5</v>
      </c>
      <c r="V5" s="231">
        <v>0.5</v>
      </c>
      <c r="W5" s="221"/>
      <c r="X5" s="222"/>
    </row>
    <row r="6" spans="1:42" ht="13">
      <c r="A6" s="218"/>
      <c r="B6" s="218"/>
      <c r="C6" s="226" t="str">
        <f>(B5)&amp;" vaate 2"</f>
        <v>Toimija 2 vaate 2</v>
      </c>
      <c r="D6" s="222"/>
      <c r="E6" s="222"/>
      <c r="F6" s="227">
        <v>1</v>
      </c>
      <c r="G6" s="222" t="s">
        <v>52</v>
      </c>
      <c r="H6" s="232"/>
      <c r="I6" s="233"/>
      <c r="J6" s="227">
        <v>3</v>
      </c>
      <c r="K6" s="227">
        <v>3</v>
      </c>
      <c r="L6" s="222">
        <f t="shared" si="0"/>
        <v>3</v>
      </c>
      <c r="M6" s="227">
        <v>3</v>
      </c>
      <c r="N6" s="227">
        <v>5</v>
      </c>
      <c r="O6" s="222">
        <f t="shared" si="1"/>
        <v>4</v>
      </c>
      <c r="P6" s="229">
        <f>Lähtötiedot!F22/O6</f>
        <v>9.5374999999999996</v>
      </c>
      <c r="Q6" s="230">
        <f>L6*Lähtötiedot!F23/P6</f>
        <v>606.38532110091751</v>
      </c>
      <c r="R6" s="231">
        <v>0.4</v>
      </c>
      <c r="S6" s="231">
        <v>0.4</v>
      </c>
      <c r="T6" s="231">
        <v>0.2</v>
      </c>
      <c r="U6" s="231">
        <v>0.5</v>
      </c>
      <c r="V6" s="231">
        <v>0.5</v>
      </c>
      <c r="W6" s="221"/>
      <c r="X6" s="222"/>
    </row>
    <row r="7" spans="1:42" ht="12.5">
      <c r="A7" s="221"/>
      <c r="B7" s="221"/>
      <c r="C7" s="226" t="str">
        <f>(B5)&amp;" vaate 3"</f>
        <v>Toimija 2 vaate 3</v>
      </c>
      <c r="D7" s="222"/>
      <c r="E7" s="222"/>
      <c r="F7" s="227">
        <v>1</v>
      </c>
      <c r="G7" s="222" t="s">
        <v>52</v>
      </c>
      <c r="H7" s="233"/>
      <c r="I7" s="233"/>
      <c r="J7" s="227">
        <v>3</v>
      </c>
      <c r="K7" s="227">
        <v>3</v>
      </c>
      <c r="L7" s="217">
        <f t="shared" si="0"/>
        <v>3</v>
      </c>
      <c r="M7" s="227">
        <v>1</v>
      </c>
      <c r="N7" s="227">
        <v>3</v>
      </c>
      <c r="O7" s="222">
        <f t="shared" si="1"/>
        <v>2</v>
      </c>
      <c r="P7" s="229">
        <f>Lähtötiedot!F22/O7</f>
        <v>19.074999999999999</v>
      </c>
      <c r="Q7" s="230">
        <f>L7*Lähtötiedot!F23/P7</f>
        <v>303.19266055045875</v>
      </c>
      <c r="R7" s="231">
        <v>0.4</v>
      </c>
      <c r="S7" s="231">
        <v>0.4</v>
      </c>
      <c r="T7" s="231">
        <v>0.2</v>
      </c>
      <c r="U7" s="231">
        <v>0.5</v>
      </c>
      <c r="V7" s="231">
        <v>0.5</v>
      </c>
      <c r="W7" s="221"/>
      <c r="X7" s="222"/>
    </row>
    <row r="8" spans="1:42" ht="12.5">
      <c r="A8" s="218"/>
      <c r="B8" s="218"/>
      <c r="C8" s="226" t="str">
        <f>(B5)&amp;" vaate 4"</f>
        <v>Toimija 2 vaate 4</v>
      </c>
      <c r="D8" s="222"/>
      <c r="E8" s="222"/>
      <c r="F8" s="227">
        <v>1</v>
      </c>
      <c r="G8" s="222" t="s">
        <v>52</v>
      </c>
      <c r="H8" s="233"/>
      <c r="I8" s="233"/>
      <c r="J8" s="227">
        <v>3</v>
      </c>
      <c r="K8" s="227">
        <v>3</v>
      </c>
      <c r="L8" s="222">
        <f t="shared" si="0"/>
        <v>3</v>
      </c>
      <c r="M8" s="227">
        <v>0</v>
      </c>
      <c r="N8" s="227">
        <v>1</v>
      </c>
      <c r="O8" s="222">
        <f t="shared" si="1"/>
        <v>0.5</v>
      </c>
      <c r="P8" s="229">
        <f>Lähtötiedot!F22/O8</f>
        <v>76.3</v>
      </c>
      <c r="Q8" s="230">
        <f>L8*Lähtötiedot!F23/P8</f>
        <v>75.798165137614689</v>
      </c>
      <c r="R8" s="231">
        <v>0.4</v>
      </c>
      <c r="S8" s="231">
        <v>0.4</v>
      </c>
      <c r="T8" s="231">
        <v>0.2</v>
      </c>
      <c r="U8" s="231">
        <v>0.5</v>
      </c>
      <c r="V8" s="231">
        <v>0.5</v>
      </c>
      <c r="W8" s="222"/>
      <c r="X8" s="222"/>
    </row>
    <row r="9" spans="1:42" ht="12.5">
      <c r="A9" s="218"/>
      <c r="B9" s="218"/>
      <c r="C9" s="226" t="str">
        <f>(B5)&amp;" vaate 5"</f>
        <v>Toimija 2 vaate 5</v>
      </c>
      <c r="D9" s="222"/>
      <c r="E9" s="222"/>
      <c r="F9" s="227">
        <v>1</v>
      </c>
      <c r="G9" s="222" t="s">
        <v>52</v>
      </c>
      <c r="H9" s="233"/>
      <c r="I9" s="233"/>
      <c r="J9" s="227">
        <v>3</v>
      </c>
      <c r="K9" s="227">
        <v>3</v>
      </c>
      <c r="L9" s="222">
        <f t="shared" si="0"/>
        <v>3</v>
      </c>
      <c r="M9" s="227">
        <v>0</v>
      </c>
      <c r="N9" s="227">
        <v>1</v>
      </c>
      <c r="O9" s="222">
        <f t="shared" si="1"/>
        <v>0.5</v>
      </c>
      <c r="P9" s="229">
        <f>Lähtötiedot!F22/O9</f>
        <v>76.3</v>
      </c>
      <c r="Q9" s="230">
        <f>L9*Lähtötiedot!F23/P9</f>
        <v>75.798165137614689</v>
      </c>
      <c r="R9" s="231">
        <v>0.4</v>
      </c>
      <c r="S9" s="231">
        <v>0.4</v>
      </c>
      <c r="T9" s="231">
        <v>0.2</v>
      </c>
      <c r="U9" s="231">
        <v>0.5</v>
      </c>
      <c r="V9" s="231">
        <v>0.5</v>
      </c>
      <c r="W9" s="222"/>
      <c r="X9" s="222"/>
    </row>
    <row r="10" spans="1:42" ht="13">
      <c r="A10" s="218"/>
      <c r="B10" s="226" t="s">
        <v>55</v>
      </c>
      <c r="C10" s="226" t="str">
        <f>(B10)&amp;" vaate 1"</f>
        <v>Toimija 3 vaate 1</v>
      </c>
      <c r="D10" s="222"/>
      <c r="E10" s="222"/>
      <c r="F10" s="227">
        <v>1</v>
      </c>
      <c r="G10" s="222" t="s">
        <v>52</v>
      </c>
      <c r="H10" s="232"/>
      <c r="I10" s="233"/>
      <c r="J10" s="227">
        <v>2</v>
      </c>
      <c r="K10" s="227">
        <v>3</v>
      </c>
      <c r="L10" s="222">
        <f t="shared" si="0"/>
        <v>2.5</v>
      </c>
      <c r="M10" s="227">
        <v>0</v>
      </c>
      <c r="N10" s="227">
        <v>1</v>
      </c>
      <c r="O10" s="222">
        <f t="shared" si="1"/>
        <v>0.5</v>
      </c>
      <c r="P10" s="229">
        <f>Lähtötiedot!F22/O10</f>
        <v>76.3</v>
      </c>
      <c r="Q10" s="230">
        <f>L10*Lähtötiedot!F23/P10</f>
        <v>63.165137614678905</v>
      </c>
      <c r="R10" s="231">
        <v>0</v>
      </c>
      <c r="S10" s="231">
        <v>1</v>
      </c>
      <c r="T10" s="231">
        <v>0</v>
      </c>
      <c r="U10" s="16"/>
      <c r="V10" s="16"/>
      <c r="W10" s="16"/>
      <c r="X10" s="17"/>
    </row>
    <row r="11" spans="1:42" ht="12.5">
      <c r="A11" s="218"/>
      <c r="B11" s="218"/>
      <c r="C11" s="226" t="str">
        <f>(B10)&amp;" vaate 2"</f>
        <v>Toimija 3 vaate 2</v>
      </c>
      <c r="D11" s="222"/>
      <c r="E11" s="222"/>
      <c r="F11" s="227">
        <v>1</v>
      </c>
      <c r="G11" s="222" t="s">
        <v>52</v>
      </c>
      <c r="H11" s="233"/>
      <c r="I11" s="234"/>
      <c r="J11" s="227">
        <v>2</v>
      </c>
      <c r="K11" s="227">
        <v>3</v>
      </c>
      <c r="L11" s="222">
        <f t="shared" si="0"/>
        <v>2.5</v>
      </c>
      <c r="M11" s="227">
        <v>0</v>
      </c>
      <c r="N11" s="227">
        <v>1</v>
      </c>
      <c r="O11" s="222">
        <f t="shared" si="1"/>
        <v>0.5</v>
      </c>
      <c r="P11" s="229">
        <f>Lähtötiedot!F22/O11</f>
        <v>76.3</v>
      </c>
      <c r="Q11" s="230">
        <f>L11*Lähtötiedot!F23/P11</f>
        <v>63.165137614678905</v>
      </c>
      <c r="R11" s="231">
        <v>0</v>
      </c>
      <c r="S11" s="231">
        <v>1</v>
      </c>
      <c r="T11" s="231">
        <v>0</v>
      </c>
      <c r="U11" s="16"/>
      <c r="V11" s="16"/>
      <c r="W11" s="16"/>
      <c r="X11" s="17"/>
    </row>
    <row r="12" spans="1:42" ht="13">
      <c r="A12" s="218"/>
      <c r="B12" s="218"/>
      <c r="C12" s="226" t="str">
        <f>(B10)&amp;" vaate 3"</f>
        <v>Toimija 3 vaate 3</v>
      </c>
      <c r="D12" s="222"/>
      <c r="E12" s="222"/>
      <c r="F12" s="227">
        <v>1</v>
      </c>
      <c r="G12" s="222" t="s">
        <v>52</v>
      </c>
      <c r="H12" s="232"/>
      <c r="I12" s="233"/>
      <c r="J12" s="227">
        <v>2</v>
      </c>
      <c r="K12" s="227">
        <v>3</v>
      </c>
      <c r="L12" s="222">
        <f t="shared" si="0"/>
        <v>2.5</v>
      </c>
      <c r="M12" s="227">
        <v>0</v>
      </c>
      <c r="N12" s="227">
        <v>1</v>
      </c>
      <c r="O12" s="222">
        <f t="shared" si="1"/>
        <v>0.5</v>
      </c>
      <c r="P12" s="229">
        <f>Lähtötiedot!F22/O12</f>
        <v>76.3</v>
      </c>
      <c r="Q12" s="230">
        <f>L12*Lähtötiedot!F23/P12</f>
        <v>63.165137614678905</v>
      </c>
      <c r="R12" s="231">
        <v>0</v>
      </c>
      <c r="S12" s="231">
        <v>1</v>
      </c>
      <c r="T12" s="231">
        <v>0</v>
      </c>
      <c r="U12" s="16"/>
      <c r="V12" s="16"/>
      <c r="W12" s="16"/>
      <c r="X12" s="17"/>
    </row>
    <row r="13" spans="1:42" ht="12.5">
      <c r="A13" s="218"/>
      <c r="B13" s="218"/>
      <c r="C13" s="226" t="str">
        <f>(B10)&amp;" vaate 4"</f>
        <v>Toimija 3 vaate 4</v>
      </c>
      <c r="D13" s="222"/>
      <c r="E13" s="222"/>
      <c r="F13" s="227">
        <v>1</v>
      </c>
      <c r="G13" s="222" t="s">
        <v>52</v>
      </c>
      <c r="H13" s="233"/>
      <c r="I13" s="222"/>
      <c r="J13" s="227">
        <v>2</v>
      </c>
      <c r="K13" s="227">
        <v>3</v>
      </c>
      <c r="L13" s="222">
        <f t="shared" si="0"/>
        <v>2.5</v>
      </c>
      <c r="M13" s="227">
        <v>0</v>
      </c>
      <c r="N13" s="227">
        <v>1</v>
      </c>
      <c r="O13" s="222">
        <f t="shared" si="1"/>
        <v>0.5</v>
      </c>
      <c r="P13" s="229">
        <f>Lähtötiedot!F22/O13</f>
        <v>76.3</v>
      </c>
      <c r="Q13" s="230">
        <f>L13*Lähtötiedot!F23/P13</f>
        <v>63.165137614678905</v>
      </c>
      <c r="R13" s="231">
        <v>0</v>
      </c>
      <c r="S13" s="231">
        <v>1</v>
      </c>
      <c r="T13" s="231">
        <v>0</v>
      </c>
      <c r="U13" s="16"/>
      <c r="V13" s="16"/>
      <c r="W13" s="16"/>
      <c r="X13" s="17"/>
    </row>
    <row r="14" spans="1:42" ht="13">
      <c r="A14" s="225" t="s">
        <v>27</v>
      </c>
      <c r="B14" s="225" t="s">
        <v>16</v>
      </c>
      <c r="C14" s="225" t="s">
        <v>56</v>
      </c>
      <c r="D14" s="213" t="s">
        <v>29</v>
      </c>
      <c r="E14" s="213" t="s">
        <v>30</v>
      </c>
      <c r="F14" s="213" t="s">
        <v>57</v>
      </c>
      <c r="G14" s="213" t="s">
        <v>32</v>
      </c>
      <c r="H14" s="213" t="s">
        <v>33</v>
      </c>
      <c r="I14" s="213" t="s">
        <v>34</v>
      </c>
      <c r="J14" s="21"/>
      <c r="K14" s="21"/>
      <c r="L14" s="21"/>
      <c r="M14" s="3"/>
      <c r="N14" s="3"/>
      <c r="O14" s="3"/>
      <c r="P14" s="3"/>
      <c r="Q14" s="3"/>
      <c r="R14" s="3"/>
      <c r="S14" s="21"/>
      <c r="T14" s="21"/>
      <c r="U14" s="21"/>
      <c r="V14" s="3"/>
      <c r="W14" s="3"/>
      <c r="X14" s="3"/>
      <c r="Y14" s="3"/>
      <c r="Z14" s="21"/>
      <c r="AA14" s="21"/>
      <c r="AB14" s="21"/>
      <c r="AC14" s="3"/>
      <c r="AD14" s="3"/>
      <c r="AE14" s="3"/>
      <c r="AF14" s="3"/>
      <c r="AG14" s="3"/>
      <c r="AH14" s="3"/>
    </row>
    <row r="15" spans="1:42" ht="12.5">
      <c r="A15" s="218" t="s">
        <v>58</v>
      </c>
      <c r="B15" s="218" t="str">
        <f>B3</f>
        <v>Toimija 1</v>
      </c>
      <c r="C15" s="218" t="s">
        <v>59</v>
      </c>
      <c r="D15" s="227">
        <v>6.9</v>
      </c>
      <c r="E15" s="227">
        <v>13.7</v>
      </c>
      <c r="F15" s="235">
        <f>AVERAGE(D15:E15)</f>
        <v>10.3</v>
      </c>
      <c r="G15" s="222" t="s">
        <v>60</v>
      </c>
      <c r="H15" s="222" t="s">
        <v>61</v>
      </c>
      <c r="I15" s="236" t="s">
        <v>62</v>
      </c>
    </row>
    <row r="16" spans="1:42" ht="12.5">
      <c r="A16" s="221"/>
      <c r="B16" s="237" t="str">
        <f>B5</f>
        <v>Toimija 2</v>
      </c>
      <c r="C16" s="218" t="s">
        <v>59</v>
      </c>
      <c r="D16" s="227">
        <v>6.9</v>
      </c>
      <c r="E16" s="227">
        <v>13.7</v>
      </c>
      <c r="F16" s="235">
        <f>AVERAGE(D16:E16)</f>
        <v>10.3</v>
      </c>
      <c r="G16" s="222" t="s">
        <v>63</v>
      </c>
      <c r="H16" s="222" t="s">
        <v>61</v>
      </c>
      <c r="I16" s="236" t="s">
        <v>62</v>
      </c>
    </row>
    <row r="17" spans="1:34" ht="12.5">
      <c r="A17" s="221"/>
      <c r="B17" s="237" t="str">
        <f>B10</f>
        <v>Toimija 3</v>
      </c>
      <c r="C17" s="237" t="s">
        <v>64</v>
      </c>
      <c r="D17" s="227">
        <v>6.9</v>
      </c>
      <c r="E17" s="227">
        <v>13.7</v>
      </c>
      <c r="F17" s="235">
        <f>AVERAGE(D17:E17)</f>
        <v>10.3</v>
      </c>
      <c r="G17" s="222" t="s">
        <v>63</v>
      </c>
      <c r="H17" s="222" t="s">
        <v>61</v>
      </c>
      <c r="I17" s="236" t="s">
        <v>62</v>
      </c>
    </row>
    <row r="18" spans="1:34" ht="12.5">
      <c r="A18" s="218" t="s">
        <v>65</v>
      </c>
      <c r="B18" s="218" t="s">
        <v>66</v>
      </c>
      <c r="C18" s="237" t="s">
        <v>67</v>
      </c>
      <c r="D18" s="222"/>
      <c r="E18" s="222"/>
      <c r="F18" s="227">
        <v>1</v>
      </c>
      <c r="G18" s="222" t="s">
        <v>63</v>
      </c>
      <c r="H18" s="222" t="s">
        <v>68</v>
      </c>
      <c r="I18" s="222"/>
    </row>
    <row r="19" spans="1:34" ht="13">
      <c r="A19" s="225" t="s">
        <v>27</v>
      </c>
      <c r="B19" s="225" t="s">
        <v>16</v>
      </c>
      <c r="C19" s="225" t="s">
        <v>69</v>
      </c>
      <c r="D19" s="213"/>
      <c r="E19" s="213"/>
      <c r="F19" s="213" t="s">
        <v>70</v>
      </c>
      <c r="G19" s="213" t="s">
        <v>32</v>
      </c>
      <c r="H19" s="213" t="s">
        <v>33</v>
      </c>
      <c r="I19" s="213" t="s">
        <v>34</v>
      </c>
      <c r="J19" s="21"/>
      <c r="K19" s="21"/>
      <c r="L19" s="21"/>
      <c r="M19" s="3"/>
      <c r="N19" s="3"/>
      <c r="O19" s="3"/>
      <c r="P19" s="3"/>
      <c r="Q19" s="3"/>
      <c r="R19" s="3"/>
      <c r="S19" s="21"/>
      <c r="T19" s="21"/>
      <c r="U19" s="21"/>
      <c r="V19" s="3"/>
      <c r="W19" s="3"/>
      <c r="X19" s="3"/>
      <c r="Y19" s="3"/>
      <c r="Z19" s="21"/>
      <c r="AA19" s="21"/>
      <c r="AB19" s="21"/>
      <c r="AC19" s="3"/>
      <c r="AD19" s="3"/>
      <c r="AE19" s="3"/>
      <c r="AF19" s="3"/>
      <c r="AG19" s="3"/>
      <c r="AH19" s="3"/>
    </row>
    <row r="20" spans="1:34" ht="12.5">
      <c r="A20" s="218" t="s">
        <v>71</v>
      </c>
      <c r="B20" s="218" t="s">
        <v>72</v>
      </c>
      <c r="C20" s="218" t="s">
        <v>73</v>
      </c>
      <c r="D20" s="221"/>
      <c r="E20" s="222"/>
      <c r="F20" s="227">
        <v>252</v>
      </c>
      <c r="G20" s="222" t="s">
        <v>74</v>
      </c>
      <c r="H20" s="222" t="s">
        <v>75</v>
      </c>
      <c r="I20" s="222"/>
    </row>
    <row r="21" spans="1:34" ht="12.5">
      <c r="A21" s="221"/>
      <c r="B21" s="221"/>
      <c r="C21" s="218" t="s">
        <v>76</v>
      </c>
      <c r="D21" s="221"/>
      <c r="E21" s="222"/>
      <c r="F21" s="227">
        <v>7.65</v>
      </c>
      <c r="G21" s="222" t="s">
        <v>77</v>
      </c>
      <c r="H21" s="236" t="s">
        <v>78</v>
      </c>
      <c r="I21" s="221"/>
    </row>
    <row r="22" spans="1:34" ht="12.5">
      <c r="A22" s="221"/>
      <c r="B22" s="221"/>
      <c r="C22" s="218" t="s">
        <v>79</v>
      </c>
      <c r="D22" s="221"/>
      <c r="E22" s="222"/>
      <c r="F22" s="227">
        <v>38.15</v>
      </c>
      <c r="G22" s="222" t="s">
        <v>80</v>
      </c>
      <c r="H22" s="236" t="s">
        <v>78</v>
      </c>
      <c r="I22" s="221"/>
    </row>
    <row r="23" spans="1:34" ht="12.5">
      <c r="A23" s="221"/>
      <c r="B23" s="221"/>
      <c r="C23" s="218" t="s">
        <v>81</v>
      </c>
      <c r="D23" s="221"/>
      <c r="E23" s="222"/>
      <c r="F23" s="222">
        <f>F20*F21</f>
        <v>1927.8000000000002</v>
      </c>
      <c r="G23" s="222" t="s">
        <v>82</v>
      </c>
      <c r="H23" s="222" t="s">
        <v>83</v>
      </c>
      <c r="I23" s="221"/>
    </row>
    <row r="24" spans="1:34" ht="12.5">
      <c r="A24" s="221"/>
      <c r="B24" s="221"/>
      <c r="C24" s="218" t="s">
        <v>84</v>
      </c>
      <c r="D24" s="221"/>
      <c r="E24" s="222"/>
      <c r="F24" s="231">
        <f>110/365</f>
        <v>0.30136986301369861</v>
      </c>
      <c r="G24" s="222" t="s">
        <v>85</v>
      </c>
      <c r="H24" s="236" t="s">
        <v>86</v>
      </c>
      <c r="I24" s="221"/>
    </row>
    <row r="25" spans="1:34" ht="12.5">
      <c r="A25" s="221"/>
      <c r="B25" s="221"/>
      <c r="C25" s="218" t="s">
        <v>87</v>
      </c>
      <c r="D25" s="221"/>
      <c r="E25" s="222"/>
      <c r="F25" s="217">
        <f>F24*F20</f>
        <v>75.945205479452056</v>
      </c>
      <c r="G25" s="222" t="s">
        <v>74</v>
      </c>
      <c r="H25" s="222" t="s">
        <v>83</v>
      </c>
      <c r="I25" s="221"/>
    </row>
    <row r="26" spans="1:34" ht="12.5">
      <c r="A26" s="221"/>
      <c r="B26" s="221"/>
      <c r="C26" s="218" t="s">
        <v>88</v>
      </c>
      <c r="D26" s="221"/>
      <c r="E26" s="222"/>
      <c r="F26" s="217">
        <f>F25*F21</f>
        <v>580.98082191780827</v>
      </c>
      <c r="G26" s="222" t="s">
        <v>82</v>
      </c>
      <c r="H26" s="222" t="s">
        <v>83</v>
      </c>
      <c r="I26" s="221"/>
    </row>
    <row r="27" spans="1:34" ht="12.5">
      <c r="B27" s="13"/>
      <c r="C27" s="13"/>
      <c r="D27" s="13"/>
      <c r="E27" s="13"/>
      <c r="F27" s="13"/>
    </row>
    <row r="28" spans="1:34" ht="12.5">
      <c r="B28" s="13"/>
      <c r="C28" s="13"/>
      <c r="D28" s="13"/>
      <c r="E28" s="13"/>
      <c r="F28" s="13"/>
    </row>
    <row r="29" spans="1:34" ht="12.5">
      <c r="B29" s="13"/>
      <c r="C29" s="13"/>
      <c r="D29" s="13"/>
      <c r="E29" s="13"/>
      <c r="F29" s="13"/>
    </row>
    <row r="30" spans="1:34" ht="12.5">
      <c r="B30" s="13"/>
      <c r="C30" s="13"/>
      <c r="D30" s="13"/>
      <c r="E30" s="13"/>
      <c r="F30" s="13"/>
    </row>
    <row r="31" spans="1:34" ht="12.5">
      <c r="B31" s="13"/>
      <c r="C31" s="13"/>
      <c r="D31" s="13"/>
      <c r="E31" s="13"/>
      <c r="F31" s="13"/>
    </row>
    <row r="32" spans="1:34" ht="12.5">
      <c r="B32" s="13"/>
      <c r="C32" s="13"/>
      <c r="D32" s="13"/>
      <c r="E32" s="13"/>
      <c r="F32" s="13"/>
    </row>
    <row r="33" spans="2:6" ht="12.5">
      <c r="B33" s="13"/>
      <c r="C33" s="13"/>
      <c r="D33" s="13"/>
      <c r="E33" s="13"/>
      <c r="F33" s="13"/>
    </row>
    <row r="34" spans="2:6" ht="12.5">
      <c r="B34" s="13"/>
      <c r="C34" s="13"/>
      <c r="D34" s="13"/>
      <c r="E34" s="13"/>
      <c r="F34" s="13"/>
    </row>
    <row r="35" spans="2:6" ht="12.5">
      <c r="B35" s="13"/>
      <c r="C35" s="13"/>
      <c r="D35" s="13"/>
      <c r="E35" s="13"/>
      <c r="F35" s="13"/>
    </row>
    <row r="36" spans="2:6" ht="12.5">
      <c r="B36" s="13"/>
      <c r="C36" s="13"/>
      <c r="D36" s="13"/>
      <c r="E36" s="13"/>
      <c r="F36" s="13"/>
    </row>
    <row r="37" spans="2:6" ht="12.5">
      <c r="B37" s="13"/>
      <c r="C37" s="13"/>
      <c r="D37" s="13"/>
      <c r="E37" s="13"/>
      <c r="F37" s="13"/>
    </row>
    <row r="38" spans="2:6" ht="12.5">
      <c r="B38" s="13"/>
      <c r="C38" s="13"/>
      <c r="D38" s="13"/>
      <c r="E38" s="13"/>
      <c r="F38" s="13"/>
    </row>
    <row r="39" spans="2:6" ht="12.5">
      <c r="B39" s="13"/>
      <c r="C39" s="13"/>
      <c r="D39" s="13"/>
      <c r="E39" s="13"/>
      <c r="F39" s="13"/>
    </row>
    <row r="40" spans="2:6" ht="12.5">
      <c r="B40" s="13"/>
      <c r="C40" s="13"/>
      <c r="D40" s="13"/>
      <c r="E40" s="13"/>
      <c r="F40" s="13"/>
    </row>
    <row r="41" spans="2:6" ht="12.5">
      <c r="B41" s="13"/>
      <c r="C41" s="13"/>
      <c r="D41" s="13"/>
      <c r="E41" s="13"/>
      <c r="F41" s="13"/>
    </row>
    <row r="42" spans="2:6" ht="12.5">
      <c r="B42" s="13"/>
      <c r="C42" s="13"/>
      <c r="D42" s="13"/>
      <c r="E42" s="13"/>
      <c r="F42" s="13"/>
    </row>
    <row r="43" spans="2:6" ht="12.5">
      <c r="B43" s="13"/>
      <c r="C43" s="13"/>
      <c r="D43" s="13"/>
      <c r="E43" s="13"/>
      <c r="F43" s="13"/>
    </row>
    <row r="44" spans="2:6" ht="12.5">
      <c r="B44" s="13"/>
      <c r="C44" s="13"/>
      <c r="D44" s="13"/>
      <c r="E44" s="13"/>
      <c r="F44" s="13"/>
    </row>
    <row r="45" spans="2:6" ht="12.5">
      <c r="B45" s="13"/>
      <c r="C45" s="13"/>
      <c r="D45" s="13"/>
      <c r="E45" s="13"/>
      <c r="F45" s="13"/>
    </row>
    <row r="46" spans="2:6" ht="12.5">
      <c r="B46" s="13"/>
      <c r="C46" s="13"/>
      <c r="D46" s="13"/>
      <c r="E46" s="13"/>
      <c r="F46" s="13"/>
    </row>
    <row r="47" spans="2:6" ht="12.5">
      <c r="B47" s="13"/>
      <c r="C47" s="13"/>
      <c r="D47" s="13"/>
      <c r="E47" s="13"/>
      <c r="F47" s="13"/>
    </row>
    <row r="48" spans="2:6" ht="12.5">
      <c r="B48" s="13"/>
      <c r="C48" s="13"/>
      <c r="D48" s="13"/>
      <c r="E48" s="13"/>
      <c r="F48" s="13"/>
    </row>
    <row r="49" spans="2:6" ht="12.5">
      <c r="B49" s="13"/>
      <c r="C49" s="13"/>
      <c r="D49" s="13"/>
      <c r="E49" s="13"/>
      <c r="F49" s="13"/>
    </row>
    <row r="50" spans="2:6" ht="12.5">
      <c r="B50" s="13"/>
      <c r="C50" s="13"/>
      <c r="D50" s="13"/>
      <c r="E50" s="13"/>
      <c r="F50" s="13"/>
    </row>
    <row r="51" spans="2:6" ht="12.5">
      <c r="B51" s="13"/>
      <c r="C51" s="13"/>
      <c r="D51" s="13"/>
      <c r="E51" s="13"/>
      <c r="F51" s="13"/>
    </row>
    <row r="52" spans="2:6" ht="12.5">
      <c r="B52" s="13"/>
      <c r="C52" s="13"/>
      <c r="D52" s="13"/>
      <c r="E52" s="13"/>
      <c r="F52" s="13"/>
    </row>
    <row r="53" spans="2:6" ht="12.5">
      <c r="B53" s="13"/>
      <c r="C53" s="13"/>
      <c r="D53" s="13"/>
      <c r="E53" s="13"/>
      <c r="F53" s="13"/>
    </row>
    <row r="54" spans="2:6" ht="12.5">
      <c r="B54" s="13"/>
      <c r="C54" s="13"/>
      <c r="D54" s="13"/>
      <c r="E54" s="13"/>
      <c r="F54" s="13"/>
    </row>
    <row r="55" spans="2:6" ht="12.5">
      <c r="B55" s="13"/>
      <c r="C55" s="13"/>
      <c r="D55" s="13"/>
      <c r="E55" s="13"/>
      <c r="F55" s="13"/>
    </row>
    <row r="56" spans="2:6" ht="12.5">
      <c r="B56" s="13"/>
      <c r="C56" s="13"/>
      <c r="D56" s="13"/>
      <c r="E56" s="13"/>
      <c r="F56" s="13"/>
    </row>
    <row r="57" spans="2:6" ht="12.5">
      <c r="B57" s="13"/>
      <c r="C57" s="13"/>
      <c r="D57" s="13"/>
      <c r="E57" s="13"/>
      <c r="F57" s="13"/>
    </row>
    <row r="58" spans="2:6" ht="12.5">
      <c r="B58" s="13"/>
      <c r="C58" s="13"/>
      <c r="D58" s="13"/>
      <c r="E58" s="13"/>
      <c r="F58" s="13"/>
    </row>
    <row r="59" spans="2:6" ht="12.5">
      <c r="B59" s="13"/>
      <c r="C59" s="13"/>
      <c r="D59" s="13"/>
      <c r="E59" s="13"/>
      <c r="F59" s="13"/>
    </row>
    <row r="60" spans="2:6" ht="12.5">
      <c r="B60" s="13"/>
      <c r="C60" s="13"/>
      <c r="D60" s="13"/>
      <c r="E60" s="13"/>
      <c r="F60" s="13"/>
    </row>
    <row r="61" spans="2:6" ht="12.5">
      <c r="B61" s="13"/>
      <c r="C61" s="13"/>
      <c r="D61" s="13"/>
      <c r="E61" s="13"/>
      <c r="F61" s="13"/>
    </row>
    <row r="62" spans="2:6" ht="12.5">
      <c r="B62" s="13"/>
      <c r="C62" s="13"/>
      <c r="D62" s="13"/>
      <c r="E62" s="13"/>
      <c r="F62" s="13"/>
    </row>
    <row r="63" spans="2:6" ht="12.5">
      <c r="B63" s="13"/>
      <c r="C63" s="13"/>
      <c r="D63" s="13"/>
      <c r="E63" s="13"/>
      <c r="F63" s="13"/>
    </row>
    <row r="64" spans="2:6" ht="12.5">
      <c r="B64" s="13"/>
      <c r="C64" s="13"/>
      <c r="D64" s="13"/>
      <c r="E64" s="13"/>
      <c r="F64" s="13"/>
    </row>
    <row r="65" spans="2:6" ht="12.5">
      <c r="B65" s="13"/>
      <c r="C65" s="13"/>
      <c r="D65" s="13"/>
      <c r="E65" s="13"/>
      <c r="F65" s="13"/>
    </row>
    <row r="66" spans="2:6" ht="12.5">
      <c r="B66" s="13"/>
      <c r="C66" s="13"/>
      <c r="D66" s="13"/>
      <c r="E66" s="13"/>
      <c r="F66" s="13"/>
    </row>
    <row r="67" spans="2:6" ht="12.5">
      <c r="B67" s="13"/>
      <c r="C67" s="13"/>
      <c r="D67" s="13"/>
      <c r="E67" s="13"/>
      <c r="F67" s="13"/>
    </row>
    <row r="68" spans="2:6" ht="12.5">
      <c r="B68" s="13"/>
      <c r="C68" s="13"/>
      <c r="D68" s="13"/>
      <c r="E68" s="13"/>
      <c r="F68" s="13"/>
    </row>
    <row r="69" spans="2:6" ht="12.5">
      <c r="B69" s="13"/>
      <c r="C69" s="13"/>
      <c r="D69" s="13"/>
      <c r="E69" s="13"/>
      <c r="F69" s="13"/>
    </row>
    <row r="70" spans="2:6" ht="12.5">
      <c r="B70" s="13"/>
      <c r="C70" s="13"/>
      <c r="D70" s="13"/>
      <c r="E70" s="13"/>
      <c r="F70" s="13"/>
    </row>
    <row r="71" spans="2:6" ht="12.5">
      <c r="B71" s="13"/>
      <c r="C71" s="13"/>
      <c r="D71" s="13"/>
      <c r="E71" s="13"/>
      <c r="F71" s="13"/>
    </row>
    <row r="72" spans="2:6" ht="12.5">
      <c r="B72" s="13"/>
      <c r="C72" s="13"/>
      <c r="D72" s="13"/>
      <c r="E72" s="13"/>
      <c r="F72" s="13"/>
    </row>
    <row r="73" spans="2:6" ht="12.5">
      <c r="B73" s="13"/>
      <c r="C73" s="13"/>
      <c r="D73" s="13"/>
      <c r="E73" s="13"/>
      <c r="F73" s="13"/>
    </row>
    <row r="74" spans="2:6" ht="12.5">
      <c r="B74" s="13"/>
      <c r="C74" s="13"/>
      <c r="D74" s="13"/>
      <c r="E74" s="13"/>
      <c r="F74" s="13"/>
    </row>
    <row r="75" spans="2:6" ht="12.5">
      <c r="B75" s="13"/>
      <c r="C75" s="13"/>
      <c r="D75" s="13"/>
      <c r="E75" s="13"/>
      <c r="F75" s="13"/>
    </row>
    <row r="76" spans="2:6" ht="12.5">
      <c r="B76" s="13"/>
      <c r="C76" s="13"/>
      <c r="D76" s="13"/>
      <c r="E76" s="13"/>
      <c r="F76" s="13"/>
    </row>
    <row r="77" spans="2:6" ht="12.5">
      <c r="B77" s="13"/>
      <c r="C77" s="13"/>
      <c r="D77" s="13"/>
      <c r="E77" s="13"/>
      <c r="F77" s="13"/>
    </row>
    <row r="78" spans="2:6" ht="12.5">
      <c r="B78" s="13"/>
      <c r="C78" s="13"/>
      <c r="D78" s="13"/>
      <c r="E78" s="13"/>
      <c r="F78" s="13"/>
    </row>
    <row r="79" spans="2:6" ht="12.5">
      <c r="B79" s="13"/>
      <c r="C79" s="13"/>
      <c r="D79" s="13"/>
      <c r="E79" s="13"/>
      <c r="F79" s="13"/>
    </row>
    <row r="80" spans="2:6" ht="12.5">
      <c r="B80" s="13"/>
      <c r="C80" s="13"/>
      <c r="D80" s="13"/>
      <c r="E80" s="13"/>
      <c r="F80" s="13"/>
    </row>
    <row r="81" spans="2:6" ht="12.5">
      <c r="B81" s="13"/>
      <c r="C81" s="13"/>
      <c r="D81" s="13"/>
      <c r="E81" s="13"/>
      <c r="F81" s="13"/>
    </row>
    <row r="82" spans="2:6" ht="12.5">
      <c r="B82" s="13"/>
      <c r="C82" s="13"/>
      <c r="D82" s="13"/>
      <c r="E82" s="13"/>
      <c r="F82" s="13"/>
    </row>
    <row r="83" spans="2:6" ht="12.5">
      <c r="B83" s="13"/>
      <c r="C83" s="13"/>
      <c r="D83" s="13"/>
      <c r="E83" s="13"/>
      <c r="F83" s="13"/>
    </row>
    <row r="84" spans="2:6" ht="12.5">
      <c r="B84" s="13"/>
      <c r="C84" s="13"/>
      <c r="D84" s="13"/>
      <c r="E84" s="13"/>
      <c r="F84" s="13"/>
    </row>
    <row r="85" spans="2:6" ht="12.5">
      <c r="B85" s="13"/>
      <c r="C85" s="13"/>
      <c r="D85" s="13"/>
      <c r="E85" s="13"/>
      <c r="F85" s="13"/>
    </row>
    <row r="86" spans="2:6" ht="12.5">
      <c r="B86" s="13"/>
      <c r="C86" s="13"/>
      <c r="D86" s="13"/>
      <c r="E86" s="13"/>
      <c r="F86" s="13"/>
    </row>
    <row r="87" spans="2:6" ht="12.5">
      <c r="B87" s="13"/>
      <c r="C87" s="13"/>
      <c r="D87" s="13"/>
      <c r="E87" s="13"/>
      <c r="F87" s="13"/>
    </row>
    <row r="88" spans="2:6" ht="12.5">
      <c r="B88" s="13"/>
      <c r="C88" s="13"/>
      <c r="D88" s="13"/>
      <c r="E88" s="13"/>
      <c r="F88" s="13"/>
    </row>
    <row r="89" spans="2:6" ht="12.5">
      <c r="B89" s="13"/>
      <c r="C89" s="13"/>
      <c r="D89" s="13"/>
      <c r="E89" s="13"/>
      <c r="F89" s="13"/>
    </row>
    <row r="90" spans="2:6" ht="12.5">
      <c r="B90" s="13"/>
      <c r="C90" s="13"/>
      <c r="D90" s="13"/>
      <c r="E90" s="13"/>
      <c r="F90" s="13"/>
    </row>
    <row r="91" spans="2:6" ht="12.5">
      <c r="B91" s="13"/>
      <c r="C91" s="13"/>
      <c r="D91" s="13"/>
      <c r="E91" s="13"/>
      <c r="F91" s="13"/>
    </row>
    <row r="92" spans="2:6" ht="12.5">
      <c r="B92" s="13"/>
      <c r="C92" s="13"/>
      <c r="D92" s="13"/>
      <c r="E92" s="13"/>
      <c r="F92" s="13"/>
    </row>
    <row r="93" spans="2:6" ht="12.5">
      <c r="B93" s="13"/>
      <c r="C93" s="13"/>
      <c r="D93" s="13"/>
      <c r="E93" s="13"/>
      <c r="F93" s="13"/>
    </row>
    <row r="94" spans="2:6" ht="12.5">
      <c r="B94" s="13"/>
      <c r="C94" s="13"/>
      <c r="D94" s="13"/>
      <c r="E94" s="13"/>
      <c r="F94" s="13"/>
    </row>
    <row r="95" spans="2:6" ht="12.5">
      <c r="B95" s="13"/>
      <c r="C95" s="13"/>
      <c r="D95" s="13"/>
      <c r="E95" s="13"/>
      <c r="F95" s="13"/>
    </row>
    <row r="96" spans="2:6" ht="12.5">
      <c r="B96" s="13"/>
      <c r="C96" s="13"/>
      <c r="D96" s="13"/>
      <c r="E96" s="13"/>
      <c r="F96" s="13"/>
    </row>
    <row r="97" spans="2:6" ht="12.5">
      <c r="B97" s="13"/>
      <c r="C97" s="13"/>
      <c r="D97" s="13"/>
      <c r="E97" s="13"/>
      <c r="F97" s="13"/>
    </row>
    <row r="98" spans="2:6" ht="12.5">
      <c r="B98" s="13"/>
      <c r="C98" s="13"/>
      <c r="D98" s="13"/>
      <c r="E98" s="13"/>
      <c r="F98" s="13"/>
    </row>
    <row r="99" spans="2:6" ht="12.5">
      <c r="B99" s="13"/>
      <c r="C99" s="13"/>
      <c r="D99" s="13"/>
      <c r="E99" s="13"/>
      <c r="F99" s="13"/>
    </row>
    <row r="100" spans="2:6" ht="12.5">
      <c r="B100" s="13"/>
      <c r="C100" s="13"/>
      <c r="D100" s="13"/>
      <c r="E100" s="13"/>
      <c r="F100" s="13"/>
    </row>
    <row r="101" spans="2:6" ht="12.5">
      <c r="B101" s="13"/>
      <c r="C101" s="13"/>
      <c r="D101" s="13"/>
      <c r="E101" s="13"/>
      <c r="F101" s="13"/>
    </row>
    <row r="102" spans="2:6" ht="12.5">
      <c r="B102" s="13"/>
      <c r="C102" s="13"/>
      <c r="D102" s="13"/>
      <c r="E102" s="13"/>
      <c r="F102" s="13"/>
    </row>
    <row r="103" spans="2:6" ht="12.5">
      <c r="B103" s="13"/>
      <c r="C103" s="13"/>
      <c r="D103" s="13"/>
      <c r="E103" s="13"/>
      <c r="F103" s="13"/>
    </row>
    <row r="104" spans="2:6" ht="12.5">
      <c r="B104" s="13"/>
      <c r="C104" s="13"/>
      <c r="D104" s="13"/>
      <c r="E104" s="13"/>
      <c r="F104" s="13"/>
    </row>
    <row r="105" spans="2:6" ht="12.5">
      <c r="B105" s="13"/>
      <c r="C105" s="13"/>
      <c r="D105" s="13"/>
      <c r="E105" s="13"/>
      <c r="F105" s="13"/>
    </row>
    <row r="106" spans="2:6" ht="12.5">
      <c r="B106" s="13"/>
      <c r="C106" s="13"/>
      <c r="D106" s="13"/>
      <c r="E106" s="13"/>
      <c r="F106" s="13"/>
    </row>
    <row r="107" spans="2:6" ht="12.5">
      <c r="B107" s="13"/>
      <c r="C107" s="13"/>
      <c r="D107" s="13"/>
      <c r="E107" s="13"/>
      <c r="F107" s="13"/>
    </row>
    <row r="108" spans="2:6" ht="12.5">
      <c r="B108" s="13"/>
      <c r="C108" s="13"/>
      <c r="D108" s="13"/>
      <c r="E108" s="13"/>
      <c r="F108" s="13"/>
    </row>
    <row r="109" spans="2:6" ht="12.5">
      <c r="B109" s="13"/>
      <c r="C109" s="13"/>
      <c r="D109" s="13"/>
      <c r="E109" s="13"/>
      <c r="F109" s="13"/>
    </row>
    <row r="110" spans="2:6" ht="12.5">
      <c r="B110" s="13"/>
      <c r="C110" s="13"/>
      <c r="D110" s="13"/>
      <c r="E110" s="13"/>
      <c r="F110" s="13"/>
    </row>
    <row r="111" spans="2:6" ht="12.5">
      <c r="B111" s="13"/>
      <c r="C111" s="13"/>
      <c r="D111" s="13"/>
      <c r="E111" s="13"/>
      <c r="F111" s="13"/>
    </row>
    <row r="112" spans="2:6" ht="12.5">
      <c r="B112" s="13"/>
      <c r="C112" s="13"/>
      <c r="D112" s="13"/>
      <c r="E112" s="13"/>
      <c r="F112" s="13"/>
    </row>
    <row r="113" spans="2:6" ht="12.5">
      <c r="B113" s="13"/>
      <c r="C113" s="13"/>
      <c r="D113" s="13"/>
      <c r="E113" s="13"/>
      <c r="F113" s="13"/>
    </row>
    <row r="114" spans="2:6" ht="12.5">
      <c r="B114" s="13"/>
      <c r="C114" s="13"/>
      <c r="D114" s="13"/>
      <c r="E114" s="13"/>
      <c r="F114" s="13"/>
    </row>
    <row r="115" spans="2:6" ht="12.5">
      <c r="B115" s="13"/>
      <c r="C115" s="13"/>
      <c r="D115" s="13"/>
      <c r="E115" s="13"/>
      <c r="F115" s="13"/>
    </row>
    <row r="116" spans="2:6" ht="12.5">
      <c r="B116" s="13"/>
      <c r="C116" s="13"/>
      <c r="D116" s="13"/>
      <c r="E116" s="13"/>
      <c r="F116" s="13"/>
    </row>
    <row r="117" spans="2:6" ht="12.5">
      <c r="B117" s="13"/>
      <c r="C117" s="13"/>
      <c r="D117" s="13"/>
      <c r="E117" s="13"/>
      <c r="F117" s="13"/>
    </row>
    <row r="118" spans="2:6" ht="12.5">
      <c r="B118" s="13"/>
      <c r="C118" s="13"/>
      <c r="D118" s="13"/>
      <c r="E118" s="13"/>
      <c r="F118" s="13"/>
    </row>
    <row r="119" spans="2:6" ht="12.5">
      <c r="B119" s="13"/>
      <c r="C119" s="13"/>
      <c r="D119" s="13"/>
      <c r="E119" s="13"/>
      <c r="F119" s="13"/>
    </row>
    <row r="120" spans="2:6" ht="12.5">
      <c r="B120" s="13"/>
      <c r="C120" s="13"/>
      <c r="D120" s="13"/>
      <c r="E120" s="13"/>
      <c r="F120" s="13"/>
    </row>
    <row r="121" spans="2:6" ht="12.5">
      <c r="B121" s="13"/>
      <c r="C121" s="13"/>
      <c r="D121" s="13"/>
      <c r="E121" s="13"/>
      <c r="F121" s="13"/>
    </row>
    <row r="122" spans="2:6" ht="12.5">
      <c r="B122" s="13"/>
      <c r="C122" s="13"/>
      <c r="D122" s="13"/>
      <c r="E122" s="13"/>
      <c r="F122" s="13"/>
    </row>
    <row r="123" spans="2:6" ht="12.5">
      <c r="B123" s="13"/>
      <c r="C123" s="13"/>
      <c r="D123" s="13"/>
      <c r="E123" s="13"/>
      <c r="F123" s="13"/>
    </row>
    <row r="124" spans="2:6" ht="12.5">
      <c r="B124" s="13"/>
      <c r="C124" s="13"/>
      <c r="D124" s="13"/>
      <c r="E124" s="13"/>
      <c r="F124" s="13"/>
    </row>
    <row r="125" spans="2:6" ht="12.5">
      <c r="B125" s="13"/>
      <c r="C125" s="13"/>
      <c r="D125" s="13"/>
      <c r="E125" s="13"/>
      <c r="F125" s="13"/>
    </row>
    <row r="126" spans="2:6" ht="12.5">
      <c r="B126" s="13"/>
      <c r="C126" s="13"/>
      <c r="D126" s="13"/>
      <c r="E126" s="13"/>
      <c r="F126" s="13"/>
    </row>
    <row r="127" spans="2:6" ht="12.5">
      <c r="B127" s="13"/>
      <c r="C127" s="13"/>
      <c r="D127" s="13"/>
      <c r="E127" s="13"/>
      <c r="F127" s="13"/>
    </row>
    <row r="128" spans="2:6" ht="12.5">
      <c r="B128" s="13"/>
      <c r="C128" s="13"/>
      <c r="D128" s="13"/>
      <c r="E128" s="13"/>
      <c r="F128" s="13"/>
    </row>
    <row r="129" spans="2:6" ht="12.5">
      <c r="B129" s="13"/>
      <c r="C129" s="13"/>
      <c r="D129" s="13"/>
      <c r="E129" s="13"/>
      <c r="F129" s="13"/>
    </row>
    <row r="130" spans="2:6" ht="12.5">
      <c r="B130" s="13"/>
      <c r="C130" s="13"/>
      <c r="D130" s="13"/>
      <c r="E130" s="13"/>
      <c r="F130" s="13"/>
    </row>
    <row r="131" spans="2:6" ht="12.5">
      <c r="B131" s="13"/>
      <c r="C131" s="13"/>
      <c r="D131" s="13"/>
      <c r="E131" s="13"/>
      <c r="F131" s="13"/>
    </row>
    <row r="132" spans="2:6" ht="12.5">
      <c r="B132" s="13"/>
      <c r="C132" s="13"/>
      <c r="D132" s="13"/>
      <c r="E132" s="13"/>
      <c r="F132" s="13"/>
    </row>
    <row r="133" spans="2:6" ht="12.5">
      <c r="B133" s="13"/>
      <c r="C133" s="13"/>
      <c r="D133" s="13"/>
      <c r="E133" s="13"/>
      <c r="F133" s="13"/>
    </row>
    <row r="134" spans="2:6" ht="12.5">
      <c r="B134" s="13"/>
      <c r="C134" s="13"/>
      <c r="D134" s="13"/>
      <c r="E134" s="13"/>
      <c r="F134" s="13"/>
    </row>
    <row r="135" spans="2:6" ht="12.5">
      <c r="B135" s="13"/>
      <c r="C135" s="13"/>
      <c r="D135" s="13"/>
      <c r="E135" s="13"/>
      <c r="F135" s="13"/>
    </row>
    <row r="136" spans="2:6" ht="12.5">
      <c r="B136" s="13"/>
      <c r="C136" s="13"/>
      <c r="D136" s="13"/>
      <c r="E136" s="13"/>
      <c r="F136" s="13"/>
    </row>
    <row r="137" spans="2:6" ht="12.5">
      <c r="B137" s="13"/>
      <c r="C137" s="13"/>
      <c r="D137" s="13"/>
      <c r="E137" s="13"/>
      <c r="F137" s="13"/>
    </row>
    <row r="138" spans="2:6" ht="12.5">
      <c r="B138" s="13"/>
      <c r="C138" s="13"/>
      <c r="D138" s="13"/>
      <c r="E138" s="13"/>
      <c r="F138" s="13"/>
    </row>
    <row r="139" spans="2:6" ht="12.5">
      <c r="B139" s="13"/>
      <c r="C139" s="13"/>
      <c r="D139" s="13"/>
      <c r="E139" s="13"/>
      <c r="F139" s="13"/>
    </row>
    <row r="140" spans="2:6" ht="12.5">
      <c r="B140" s="13"/>
      <c r="C140" s="13"/>
      <c r="D140" s="13"/>
      <c r="E140" s="13"/>
      <c r="F140" s="13"/>
    </row>
    <row r="141" spans="2:6" ht="12.5">
      <c r="B141" s="13"/>
      <c r="C141" s="13"/>
      <c r="D141" s="13"/>
      <c r="E141" s="13"/>
      <c r="F141" s="13"/>
    </row>
    <row r="142" spans="2:6" ht="12.5">
      <c r="B142" s="13"/>
      <c r="C142" s="13"/>
      <c r="D142" s="13"/>
      <c r="E142" s="13"/>
      <c r="F142" s="13"/>
    </row>
    <row r="143" spans="2:6" ht="12.5">
      <c r="B143" s="13"/>
      <c r="C143" s="13"/>
      <c r="D143" s="13"/>
      <c r="E143" s="13"/>
      <c r="F143" s="13"/>
    </row>
    <row r="144" spans="2:6" ht="12.5">
      <c r="B144" s="13"/>
      <c r="C144" s="13"/>
      <c r="D144" s="13"/>
      <c r="E144" s="13"/>
      <c r="F144" s="13"/>
    </row>
    <row r="145" spans="2:6" ht="12.5">
      <c r="B145" s="13"/>
      <c r="C145" s="13"/>
      <c r="D145" s="13"/>
      <c r="E145" s="13"/>
      <c r="F145" s="13"/>
    </row>
    <row r="146" spans="2:6" ht="12.5">
      <c r="B146" s="13"/>
      <c r="C146" s="13"/>
      <c r="D146" s="13"/>
      <c r="E146" s="13"/>
      <c r="F146" s="13"/>
    </row>
    <row r="147" spans="2:6" ht="12.5">
      <c r="B147" s="13"/>
      <c r="C147" s="13"/>
      <c r="D147" s="13"/>
      <c r="E147" s="13"/>
      <c r="F147" s="13"/>
    </row>
    <row r="148" spans="2:6" ht="12.5">
      <c r="B148" s="13"/>
      <c r="C148" s="13"/>
      <c r="D148" s="13"/>
      <c r="E148" s="13"/>
      <c r="F148" s="13"/>
    </row>
    <row r="149" spans="2:6" ht="12.5">
      <c r="B149" s="13"/>
      <c r="C149" s="13"/>
      <c r="D149" s="13"/>
      <c r="E149" s="13"/>
      <c r="F149" s="13"/>
    </row>
    <row r="150" spans="2:6" ht="12.5">
      <c r="B150" s="13"/>
      <c r="C150" s="13"/>
      <c r="D150" s="13"/>
      <c r="E150" s="13"/>
      <c r="F150" s="13"/>
    </row>
    <row r="151" spans="2:6" ht="12.5">
      <c r="B151" s="13"/>
      <c r="C151" s="13"/>
      <c r="D151" s="13"/>
      <c r="E151" s="13"/>
      <c r="F151" s="13"/>
    </row>
    <row r="152" spans="2:6" ht="12.5">
      <c r="B152" s="13"/>
      <c r="C152" s="13"/>
      <c r="D152" s="13"/>
      <c r="E152" s="13"/>
      <c r="F152" s="13"/>
    </row>
    <row r="153" spans="2:6" ht="12.5">
      <c r="B153" s="13"/>
      <c r="C153" s="13"/>
      <c r="D153" s="13"/>
      <c r="E153" s="13"/>
      <c r="F153" s="13"/>
    </row>
    <row r="154" spans="2:6" ht="12.5">
      <c r="B154" s="13"/>
      <c r="C154" s="13"/>
      <c r="D154" s="13"/>
      <c r="E154" s="13"/>
      <c r="F154" s="13"/>
    </row>
    <row r="155" spans="2:6" ht="12.5">
      <c r="B155" s="13"/>
      <c r="C155" s="13"/>
      <c r="D155" s="13"/>
      <c r="E155" s="13"/>
      <c r="F155" s="13"/>
    </row>
    <row r="156" spans="2:6" ht="12.5">
      <c r="B156" s="13"/>
      <c r="C156" s="13"/>
      <c r="D156" s="13"/>
      <c r="E156" s="13"/>
      <c r="F156" s="13"/>
    </row>
    <row r="157" spans="2:6" ht="12.5">
      <c r="B157" s="13"/>
      <c r="C157" s="13"/>
      <c r="D157" s="13"/>
      <c r="E157" s="13"/>
      <c r="F157" s="13"/>
    </row>
    <row r="158" spans="2:6" ht="12.5">
      <c r="B158" s="13"/>
      <c r="C158" s="13"/>
      <c r="D158" s="13"/>
      <c r="E158" s="13"/>
      <c r="F158" s="13"/>
    </row>
    <row r="159" spans="2:6" ht="12.5">
      <c r="B159" s="13"/>
      <c r="C159" s="13"/>
      <c r="D159" s="13"/>
      <c r="E159" s="13"/>
      <c r="F159" s="13"/>
    </row>
    <row r="160" spans="2:6" ht="12.5">
      <c r="B160" s="13"/>
      <c r="C160" s="13"/>
      <c r="D160" s="13"/>
      <c r="E160" s="13"/>
      <c r="F160" s="13"/>
    </row>
    <row r="161" spans="2:6" ht="12.5">
      <c r="B161" s="13"/>
      <c r="C161" s="13"/>
      <c r="D161" s="13"/>
      <c r="E161" s="13"/>
      <c r="F161" s="13"/>
    </row>
    <row r="162" spans="2:6" ht="12.5">
      <c r="B162" s="13"/>
      <c r="C162" s="13"/>
      <c r="D162" s="13"/>
      <c r="E162" s="13"/>
      <c r="F162" s="13"/>
    </row>
    <row r="163" spans="2:6" ht="12.5">
      <c r="B163" s="13"/>
      <c r="C163" s="13"/>
      <c r="D163" s="13"/>
      <c r="E163" s="13"/>
      <c r="F163" s="13"/>
    </row>
    <row r="164" spans="2:6" ht="12.5">
      <c r="B164" s="13"/>
      <c r="C164" s="13"/>
      <c r="D164" s="13"/>
      <c r="E164" s="13"/>
      <c r="F164" s="13"/>
    </row>
    <row r="165" spans="2:6" ht="12.5">
      <c r="B165" s="13"/>
      <c r="C165" s="13"/>
      <c r="D165" s="13"/>
      <c r="E165" s="13"/>
      <c r="F165" s="13"/>
    </row>
    <row r="166" spans="2:6" ht="12.5">
      <c r="B166" s="13"/>
      <c r="C166" s="13"/>
      <c r="D166" s="13"/>
      <c r="E166" s="13"/>
      <c r="F166" s="13"/>
    </row>
    <row r="167" spans="2:6" ht="12.5">
      <c r="B167" s="13"/>
      <c r="C167" s="13"/>
      <c r="D167" s="13"/>
      <c r="E167" s="13"/>
      <c r="F167" s="13"/>
    </row>
    <row r="168" spans="2:6" ht="12.5">
      <c r="B168" s="13"/>
      <c r="C168" s="13"/>
      <c r="D168" s="13"/>
      <c r="E168" s="13"/>
      <c r="F168" s="13"/>
    </row>
    <row r="169" spans="2:6" ht="12.5">
      <c r="B169" s="13"/>
      <c r="C169" s="13"/>
      <c r="D169" s="13"/>
      <c r="E169" s="13"/>
      <c r="F169" s="13"/>
    </row>
    <row r="170" spans="2:6" ht="12.5">
      <c r="B170" s="13"/>
      <c r="C170" s="13"/>
      <c r="D170" s="13"/>
      <c r="E170" s="13"/>
      <c r="F170" s="13"/>
    </row>
    <row r="171" spans="2:6" ht="12.5">
      <c r="B171" s="13"/>
      <c r="C171" s="13"/>
      <c r="D171" s="13"/>
      <c r="E171" s="13"/>
      <c r="F171" s="13"/>
    </row>
    <row r="172" spans="2:6" ht="12.5">
      <c r="B172" s="13"/>
      <c r="C172" s="13"/>
      <c r="D172" s="13"/>
      <c r="E172" s="13"/>
      <c r="F172" s="13"/>
    </row>
    <row r="173" spans="2:6" ht="12.5">
      <c r="B173" s="13"/>
      <c r="C173" s="13"/>
      <c r="D173" s="13"/>
      <c r="E173" s="13"/>
      <c r="F173" s="13"/>
    </row>
    <row r="174" spans="2:6" ht="12.5">
      <c r="B174" s="13"/>
      <c r="C174" s="13"/>
      <c r="D174" s="13"/>
      <c r="E174" s="13"/>
      <c r="F174" s="13"/>
    </row>
    <row r="175" spans="2:6" ht="12.5">
      <c r="B175" s="13"/>
      <c r="C175" s="13"/>
      <c r="D175" s="13"/>
      <c r="E175" s="13"/>
      <c r="F175" s="13"/>
    </row>
    <row r="176" spans="2:6" ht="12.5">
      <c r="B176" s="13"/>
      <c r="C176" s="13"/>
      <c r="D176" s="13"/>
      <c r="E176" s="13"/>
      <c r="F176" s="13"/>
    </row>
    <row r="177" spans="2:6" ht="12.5">
      <c r="B177" s="13"/>
      <c r="C177" s="13"/>
      <c r="D177" s="13"/>
      <c r="E177" s="13"/>
      <c r="F177" s="13"/>
    </row>
    <row r="178" spans="2:6" ht="12.5">
      <c r="B178" s="13"/>
      <c r="C178" s="13"/>
      <c r="D178" s="13"/>
      <c r="E178" s="13"/>
      <c r="F178" s="13"/>
    </row>
    <row r="179" spans="2:6" ht="12.5">
      <c r="B179" s="13"/>
      <c r="C179" s="13"/>
      <c r="D179" s="13"/>
      <c r="E179" s="13"/>
      <c r="F179" s="13"/>
    </row>
    <row r="180" spans="2:6" ht="12.5">
      <c r="B180" s="13"/>
      <c r="C180" s="13"/>
      <c r="D180" s="13"/>
      <c r="E180" s="13"/>
      <c r="F180" s="13"/>
    </row>
    <row r="181" spans="2:6" ht="12.5">
      <c r="B181" s="13"/>
      <c r="C181" s="13"/>
      <c r="D181" s="13"/>
      <c r="E181" s="13"/>
      <c r="F181" s="13"/>
    </row>
    <row r="182" spans="2:6" ht="12.5">
      <c r="B182" s="13"/>
      <c r="C182" s="13"/>
      <c r="D182" s="13"/>
      <c r="E182" s="13"/>
      <c r="F182" s="13"/>
    </row>
    <row r="183" spans="2:6" ht="12.5">
      <c r="B183" s="13"/>
      <c r="C183" s="13"/>
      <c r="D183" s="13"/>
      <c r="E183" s="13"/>
      <c r="F183" s="13"/>
    </row>
    <row r="184" spans="2:6" ht="12.5">
      <c r="B184" s="13"/>
      <c r="C184" s="13"/>
      <c r="D184" s="13"/>
      <c r="E184" s="13"/>
      <c r="F184" s="13"/>
    </row>
    <row r="185" spans="2:6" ht="12.5">
      <c r="B185" s="13"/>
      <c r="C185" s="13"/>
      <c r="D185" s="13"/>
      <c r="E185" s="13"/>
      <c r="F185" s="13"/>
    </row>
    <row r="186" spans="2:6" ht="12.5">
      <c r="B186" s="13"/>
      <c r="C186" s="13"/>
      <c r="D186" s="13"/>
      <c r="E186" s="13"/>
      <c r="F186" s="13"/>
    </row>
    <row r="187" spans="2:6" ht="12.5">
      <c r="B187" s="13"/>
      <c r="C187" s="13"/>
      <c r="D187" s="13"/>
      <c r="E187" s="13"/>
      <c r="F187" s="13"/>
    </row>
    <row r="188" spans="2:6" ht="12.5">
      <c r="B188" s="13"/>
      <c r="C188" s="13"/>
      <c r="D188" s="13"/>
      <c r="E188" s="13"/>
      <c r="F188" s="13"/>
    </row>
    <row r="189" spans="2:6" ht="12.5">
      <c r="B189" s="13"/>
      <c r="C189" s="13"/>
      <c r="D189" s="13"/>
      <c r="E189" s="13"/>
      <c r="F189" s="13"/>
    </row>
    <row r="190" spans="2:6" ht="12.5">
      <c r="B190" s="13"/>
      <c r="C190" s="13"/>
      <c r="D190" s="13"/>
      <c r="E190" s="13"/>
      <c r="F190" s="13"/>
    </row>
    <row r="191" spans="2:6" ht="12.5">
      <c r="B191" s="13"/>
      <c r="C191" s="13"/>
      <c r="D191" s="13"/>
      <c r="E191" s="13"/>
      <c r="F191" s="13"/>
    </row>
    <row r="192" spans="2:6" ht="12.5">
      <c r="B192" s="13"/>
      <c r="C192" s="13"/>
      <c r="D192" s="13"/>
      <c r="E192" s="13"/>
      <c r="F192" s="13"/>
    </row>
    <row r="193" spans="2:6" ht="12.5">
      <c r="B193" s="13"/>
      <c r="C193" s="13"/>
      <c r="D193" s="13"/>
      <c r="E193" s="13"/>
      <c r="F193" s="13"/>
    </row>
    <row r="194" spans="2:6" ht="12.5">
      <c r="B194" s="13"/>
      <c r="C194" s="13"/>
      <c r="D194" s="13"/>
      <c r="E194" s="13"/>
      <c r="F194" s="13"/>
    </row>
    <row r="195" spans="2:6" ht="12.5">
      <c r="B195" s="13"/>
      <c r="C195" s="13"/>
      <c r="D195" s="13"/>
      <c r="E195" s="13"/>
      <c r="F195" s="13"/>
    </row>
    <row r="196" spans="2:6" ht="12.5">
      <c r="B196" s="13"/>
      <c r="C196" s="13"/>
      <c r="D196" s="13"/>
      <c r="E196" s="13"/>
      <c r="F196" s="13"/>
    </row>
    <row r="197" spans="2:6" ht="12.5">
      <c r="B197" s="13"/>
      <c r="C197" s="13"/>
      <c r="D197" s="13"/>
      <c r="E197" s="13"/>
      <c r="F197" s="13"/>
    </row>
    <row r="198" spans="2:6" ht="12.5">
      <c r="B198" s="13"/>
      <c r="C198" s="13"/>
      <c r="D198" s="13"/>
      <c r="E198" s="13"/>
      <c r="F198" s="13"/>
    </row>
    <row r="199" spans="2:6" ht="12.5">
      <c r="B199" s="13"/>
      <c r="C199" s="13"/>
      <c r="D199" s="13"/>
      <c r="E199" s="13"/>
      <c r="F199" s="13"/>
    </row>
    <row r="200" spans="2:6" ht="12.5">
      <c r="B200" s="13"/>
      <c r="C200" s="13"/>
      <c r="D200" s="13"/>
      <c r="E200" s="13"/>
      <c r="F200" s="13"/>
    </row>
    <row r="201" spans="2:6" ht="12.5">
      <c r="B201" s="13"/>
      <c r="C201" s="13"/>
      <c r="D201" s="13"/>
      <c r="E201" s="13"/>
      <c r="F201" s="13"/>
    </row>
    <row r="202" spans="2:6" ht="12.5">
      <c r="B202" s="13"/>
      <c r="C202" s="13"/>
      <c r="D202" s="13"/>
      <c r="E202" s="13"/>
      <c r="F202" s="13"/>
    </row>
    <row r="203" spans="2:6" ht="12.5">
      <c r="B203" s="13"/>
      <c r="C203" s="13"/>
      <c r="D203" s="13"/>
      <c r="E203" s="13"/>
      <c r="F203" s="13"/>
    </row>
    <row r="204" spans="2:6" ht="12.5">
      <c r="B204" s="13"/>
      <c r="C204" s="13"/>
      <c r="D204" s="13"/>
      <c r="E204" s="13"/>
      <c r="F204" s="13"/>
    </row>
    <row r="205" spans="2:6" ht="12.5">
      <c r="B205" s="13"/>
      <c r="C205" s="13"/>
      <c r="D205" s="13"/>
      <c r="E205" s="13"/>
      <c r="F205" s="13"/>
    </row>
    <row r="206" spans="2:6" ht="12.5">
      <c r="B206" s="13"/>
      <c r="C206" s="13"/>
      <c r="D206" s="13"/>
      <c r="E206" s="13"/>
      <c r="F206" s="13"/>
    </row>
    <row r="207" spans="2:6" ht="12.5">
      <c r="B207" s="13"/>
      <c r="C207" s="13"/>
      <c r="D207" s="13"/>
      <c r="E207" s="13"/>
      <c r="F207" s="13"/>
    </row>
    <row r="208" spans="2:6" ht="12.5">
      <c r="B208" s="13"/>
      <c r="C208" s="13"/>
      <c r="D208" s="13"/>
      <c r="E208" s="13"/>
      <c r="F208" s="13"/>
    </row>
    <row r="209" spans="2:6" ht="12.5">
      <c r="B209" s="13"/>
      <c r="C209" s="13"/>
      <c r="D209" s="13"/>
      <c r="E209" s="13"/>
      <c r="F209" s="13"/>
    </row>
    <row r="210" spans="2:6" ht="12.5">
      <c r="B210" s="13"/>
      <c r="C210" s="13"/>
      <c r="D210" s="13"/>
      <c r="E210" s="13"/>
      <c r="F210" s="13"/>
    </row>
    <row r="211" spans="2:6" ht="12.5">
      <c r="B211" s="13"/>
      <c r="C211" s="13"/>
      <c r="D211" s="13"/>
      <c r="E211" s="13"/>
      <c r="F211" s="13"/>
    </row>
    <row r="212" spans="2:6" ht="12.5">
      <c r="B212" s="13"/>
      <c r="C212" s="13"/>
      <c r="D212" s="13"/>
      <c r="E212" s="13"/>
      <c r="F212" s="13"/>
    </row>
    <row r="213" spans="2:6" ht="12.5">
      <c r="B213" s="13"/>
      <c r="C213" s="13"/>
      <c r="D213" s="13"/>
      <c r="E213" s="13"/>
      <c r="F213" s="13"/>
    </row>
    <row r="214" spans="2:6" ht="12.5">
      <c r="B214" s="13"/>
      <c r="C214" s="13"/>
      <c r="D214" s="13"/>
      <c r="E214" s="13"/>
      <c r="F214" s="13"/>
    </row>
    <row r="215" spans="2:6" ht="12.5">
      <c r="B215" s="13"/>
      <c r="C215" s="13"/>
      <c r="D215" s="13"/>
      <c r="E215" s="13"/>
      <c r="F215" s="13"/>
    </row>
    <row r="216" spans="2:6" ht="12.5">
      <c r="B216" s="13"/>
      <c r="C216" s="13"/>
      <c r="D216" s="13"/>
      <c r="E216" s="13"/>
      <c r="F216" s="13"/>
    </row>
    <row r="217" spans="2:6" ht="12.5">
      <c r="B217" s="13"/>
      <c r="C217" s="13"/>
      <c r="D217" s="13"/>
      <c r="E217" s="13"/>
      <c r="F217" s="13"/>
    </row>
    <row r="218" spans="2:6" ht="12.5">
      <c r="B218" s="13"/>
      <c r="C218" s="13"/>
      <c r="D218" s="13"/>
      <c r="E218" s="13"/>
      <c r="F218" s="13"/>
    </row>
    <row r="219" spans="2:6" ht="12.5">
      <c r="B219" s="13"/>
      <c r="C219" s="13"/>
      <c r="D219" s="13"/>
      <c r="E219" s="13"/>
      <c r="F219" s="13"/>
    </row>
    <row r="220" spans="2:6" ht="12.5">
      <c r="B220" s="13"/>
      <c r="C220" s="13"/>
      <c r="D220" s="13"/>
      <c r="E220" s="13"/>
      <c r="F220" s="13"/>
    </row>
    <row r="221" spans="2:6" ht="12.5">
      <c r="B221" s="13"/>
      <c r="C221" s="13"/>
      <c r="D221" s="13"/>
      <c r="E221" s="13"/>
      <c r="F221" s="13"/>
    </row>
    <row r="222" spans="2:6" ht="12.5">
      <c r="B222" s="13"/>
      <c r="C222" s="13"/>
      <c r="D222" s="13"/>
      <c r="E222" s="13"/>
      <c r="F222" s="13"/>
    </row>
    <row r="223" spans="2:6" ht="12.5">
      <c r="B223" s="13"/>
      <c r="C223" s="13"/>
      <c r="D223" s="13"/>
      <c r="E223" s="13"/>
      <c r="F223" s="13"/>
    </row>
    <row r="224" spans="2:6" ht="12.5">
      <c r="B224" s="13"/>
      <c r="C224" s="13"/>
      <c r="D224" s="13"/>
      <c r="E224" s="13"/>
      <c r="F224" s="13"/>
    </row>
    <row r="225" spans="2:6" ht="12.5">
      <c r="B225" s="13"/>
      <c r="C225" s="13"/>
      <c r="D225" s="13"/>
      <c r="E225" s="13"/>
      <c r="F225" s="13"/>
    </row>
    <row r="226" spans="2:6" ht="12.5">
      <c r="B226" s="13"/>
      <c r="C226" s="13"/>
      <c r="D226" s="13"/>
      <c r="E226" s="13"/>
      <c r="F226" s="13"/>
    </row>
    <row r="227" spans="2:6" ht="12.5">
      <c r="B227" s="13"/>
      <c r="C227" s="13"/>
      <c r="D227" s="13"/>
      <c r="E227" s="13"/>
      <c r="F227" s="13"/>
    </row>
    <row r="228" spans="2:6" ht="12.5">
      <c r="B228" s="13"/>
      <c r="C228" s="13"/>
      <c r="D228" s="13"/>
      <c r="E228" s="13"/>
      <c r="F228" s="13"/>
    </row>
    <row r="229" spans="2:6" ht="12.5">
      <c r="B229" s="13"/>
      <c r="C229" s="13"/>
      <c r="D229" s="13"/>
      <c r="E229" s="13"/>
      <c r="F229" s="13"/>
    </row>
    <row r="230" spans="2:6" ht="12.5">
      <c r="B230" s="13"/>
      <c r="C230" s="13"/>
      <c r="D230" s="13"/>
      <c r="E230" s="13"/>
      <c r="F230" s="13"/>
    </row>
    <row r="231" spans="2:6" ht="12.5">
      <c r="B231" s="13"/>
      <c r="C231" s="13"/>
      <c r="D231" s="13"/>
      <c r="E231" s="13"/>
      <c r="F231" s="13"/>
    </row>
    <row r="232" spans="2:6" ht="12.5">
      <c r="B232" s="13"/>
      <c r="C232" s="13"/>
      <c r="D232" s="13"/>
      <c r="E232" s="13"/>
      <c r="F232" s="13"/>
    </row>
    <row r="233" spans="2:6" ht="12.5">
      <c r="B233" s="13"/>
      <c r="C233" s="13"/>
      <c r="D233" s="13"/>
      <c r="E233" s="13"/>
      <c r="F233" s="13"/>
    </row>
    <row r="234" spans="2:6" ht="12.5">
      <c r="B234" s="13"/>
      <c r="C234" s="13"/>
      <c r="D234" s="13"/>
      <c r="E234" s="13"/>
      <c r="F234" s="13"/>
    </row>
    <row r="235" spans="2:6" ht="12.5">
      <c r="B235" s="13"/>
      <c r="C235" s="13"/>
      <c r="D235" s="13"/>
      <c r="E235" s="13"/>
      <c r="F235" s="13"/>
    </row>
    <row r="236" spans="2:6" ht="12.5">
      <c r="B236" s="13"/>
      <c r="C236" s="13"/>
      <c r="D236" s="13"/>
      <c r="E236" s="13"/>
      <c r="F236" s="13"/>
    </row>
    <row r="237" spans="2:6" ht="12.5">
      <c r="B237" s="13"/>
      <c r="C237" s="13"/>
      <c r="D237" s="13"/>
      <c r="E237" s="13"/>
      <c r="F237" s="13"/>
    </row>
    <row r="238" spans="2:6" ht="12.5">
      <c r="B238" s="13"/>
      <c r="C238" s="13"/>
      <c r="D238" s="13"/>
      <c r="E238" s="13"/>
      <c r="F238" s="13"/>
    </row>
    <row r="239" spans="2:6" ht="12.5">
      <c r="B239" s="13"/>
      <c r="C239" s="13"/>
      <c r="D239" s="13"/>
      <c r="E239" s="13"/>
      <c r="F239" s="13"/>
    </row>
    <row r="240" spans="2:6" ht="12.5">
      <c r="B240" s="13"/>
      <c r="C240" s="13"/>
      <c r="D240" s="13"/>
      <c r="E240" s="13"/>
      <c r="F240" s="13"/>
    </row>
    <row r="241" spans="2:6" ht="12.5">
      <c r="B241" s="13"/>
      <c r="C241" s="13"/>
      <c r="D241" s="13"/>
      <c r="E241" s="13"/>
      <c r="F241" s="13"/>
    </row>
    <row r="242" spans="2:6" ht="12.5">
      <c r="B242" s="13"/>
      <c r="C242" s="13"/>
      <c r="D242" s="13"/>
      <c r="E242" s="13"/>
      <c r="F242" s="13"/>
    </row>
    <row r="243" spans="2:6" ht="12.5">
      <c r="B243" s="13"/>
      <c r="C243" s="13"/>
      <c r="D243" s="13"/>
      <c r="E243" s="13"/>
      <c r="F243" s="13"/>
    </row>
    <row r="244" spans="2:6" ht="12.5">
      <c r="B244" s="13"/>
      <c r="C244" s="13"/>
      <c r="D244" s="13"/>
      <c r="E244" s="13"/>
      <c r="F244" s="13"/>
    </row>
    <row r="245" spans="2:6" ht="12.5">
      <c r="B245" s="13"/>
      <c r="C245" s="13"/>
      <c r="D245" s="13"/>
      <c r="E245" s="13"/>
      <c r="F245" s="13"/>
    </row>
    <row r="246" spans="2:6" ht="12.5">
      <c r="B246" s="13"/>
      <c r="C246" s="13"/>
      <c r="D246" s="13"/>
      <c r="E246" s="13"/>
      <c r="F246" s="13"/>
    </row>
    <row r="247" spans="2:6" ht="12.5">
      <c r="B247" s="13"/>
      <c r="C247" s="13"/>
      <c r="D247" s="13"/>
      <c r="E247" s="13"/>
      <c r="F247" s="13"/>
    </row>
    <row r="248" spans="2:6" ht="12.5">
      <c r="B248" s="13"/>
      <c r="C248" s="13"/>
      <c r="D248" s="13"/>
      <c r="E248" s="13"/>
      <c r="F248" s="13"/>
    </row>
    <row r="249" spans="2:6" ht="12.5">
      <c r="B249" s="13"/>
      <c r="C249" s="13"/>
      <c r="D249" s="13"/>
      <c r="E249" s="13"/>
      <c r="F249" s="13"/>
    </row>
    <row r="250" spans="2:6" ht="12.5">
      <c r="B250" s="13"/>
      <c r="C250" s="13"/>
      <c r="D250" s="13"/>
      <c r="E250" s="13"/>
      <c r="F250" s="13"/>
    </row>
    <row r="251" spans="2:6" ht="12.5">
      <c r="B251" s="13"/>
      <c r="C251" s="13"/>
      <c r="D251" s="13"/>
      <c r="E251" s="13"/>
      <c r="F251" s="13"/>
    </row>
    <row r="252" spans="2:6" ht="12.5">
      <c r="B252" s="13"/>
      <c r="C252" s="13"/>
      <c r="D252" s="13"/>
      <c r="E252" s="13"/>
      <c r="F252" s="13"/>
    </row>
    <row r="253" spans="2:6" ht="12.5">
      <c r="B253" s="13"/>
      <c r="C253" s="13"/>
      <c r="D253" s="13"/>
      <c r="E253" s="13"/>
      <c r="F253" s="13"/>
    </row>
    <row r="254" spans="2:6" ht="12.5">
      <c r="B254" s="13"/>
      <c r="C254" s="13"/>
      <c r="D254" s="13"/>
      <c r="E254" s="13"/>
      <c r="F254" s="13"/>
    </row>
    <row r="255" spans="2:6" ht="12.5">
      <c r="B255" s="13"/>
      <c r="C255" s="13"/>
      <c r="D255" s="13"/>
      <c r="E255" s="13"/>
      <c r="F255" s="13"/>
    </row>
    <row r="256" spans="2:6" ht="12.5">
      <c r="B256" s="13"/>
      <c r="C256" s="13"/>
      <c r="D256" s="13"/>
      <c r="E256" s="13"/>
      <c r="F256" s="13"/>
    </row>
    <row r="257" spans="2:6" ht="12.5">
      <c r="B257" s="13"/>
      <c r="C257" s="13"/>
      <c r="D257" s="13"/>
      <c r="E257" s="13"/>
      <c r="F257" s="13"/>
    </row>
    <row r="258" spans="2:6" ht="12.5">
      <c r="B258" s="13"/>
      <c r="C258" s="13"/>
      <c r="D258" s="13"/>
      <c r="E258" s="13"/>
      <c r="F258" s="13"/>
    </row>
    <row r="259" spans="2:6" ht="12.5">
      <c r="B259" s="13"/>
      <c r="C259" s="13"/>
      <c r="D259" s="13"/>
      <c r="E259" s="13"/>
      <c r="F259" s="13"/>
    </row>
    <row r="260" spans="2:6" ht="12.5">
      <c r="B260" s="13"/>
      <c r="C260" s="13"/>
      <c r="D260" s="13"/>
      <c r="E260" s="13"/>
      <c r="F260" s="13"/>
    </row>
    <row r="261" spans="2:6" ht="12.5">
      <c r="B261" s="13"/>
      <c r="C261" s="13"/>
      <c r="D261" s="13"/>
      <c r="E261" s="13"/>
      <c r="F261" s="13"/>
    </row>
    <row r="262" spans="2:6" ht="12.5">
      <c r="B262" s="13"/>
      <c r="C262" s="13"/>
      <c r="D262" s="13"/>
      <c r="E262" s="13"/>
      <c r="F262" s="13"/>
    </row>
    <row r="263" spans="2:6" ht="12.5">
      <c r="B263" s="13"/>
      <c r="C263" s="13"/>
      <c r="D263" s="13"/>
      <c r="E263" s="13"/>
      <c r="F263" s="13"/>
    </row>
    <row r="264" spans="2:6" ht="12.5">
      <c r="B264" s="13"/>
      <c r="C264" s="13"/>
      <c r="D264" s="13"/>
      <c r="E264" s="13"/>
      <c r="F264" s="13"/>
    </row>
    <row r="265" spans="2:6" ht="12.5">
      <c r="B265" s="13"/>
      <c r="C265" s="13"/>
      <c r="D265" s="13"/>
      <c r="E265" s="13"/>
      <c r="F265" s="13"/>
    </row>
    <row r="266" spans="2:6" ht="12.5">
      <c r="B266" s="13"/>
      <c r="C266" s="13"/>
      <c r="D266" s="13"/>
      <c r="E266" s="13"/>
      <c r="F266" s="13"/>
    </row>
    <row r="267" spans="2:6" ht="12.5">
      <c r="B267" s="13"/>
      <c r="C267" s="13"/>
      <c r="D267" s="13"/>
      <c r="E267" s="13"/>
      <c r="F267" s="13"/>
    </row>
    <row r="268" spans="2:6" ht="12.5">
      <c r="B268" s="13"/>
      <c r="C268" s="13"/>
      <c r="D268" s="13"/>
      <c r="E268" s="13"/>
      <c r="F268" s="13"/>
    </row>
    <row r="269" spans="2:6" ht="12.5">
      <c r="B269" s="13"/>
      <c r="C269" s="13"/>
      <c r="D269" s="13"/>
      <c r="E269" s="13"/>
      <c r="F269" s="13"/>
    </row>
    <row r="270" spans="2:6" ht="12.5">
      <c r="B270" s="13"/>
      <c r="C270" s="13"/>
      <c r="D270" s="13"/>
      <c r="E270" s="13"/>
      <c r="F270" s="13"/>
    </row>
    <row r="271" spans="2:6" ht="12.5">
      <c r="B271" s="13"/>
      <c r="C271" s="13"/>
      <c r="D271" s="13"/>
      <c r="E271" s="13"/>
      <c r="F271" s="13"/>
    </row>
    <row r="272" spans="2:6" ht="12.5">
      <c r="B272" s="13"/>
      <c r="C272" s="13"/>
      <c r="D272" s="13"/>
      <c r="E272" s="13"/>
      <c r="F272" s="13"/>
    </row>
    <row r="273" spans="2:6" ht="12.5">
      <c r="B273" s="13"/>
      <c r="C273" s="13"/>
      <c r="D273" s="13"/>
      <c r="E273" s="13"/>
      <c r="F273" s="13"/>
    </row>
    <row r="274" spans="2:6" ht="12.5">
      <c r="B274" s="13"/>
      <c r="C274" s="13"/>
      <c r="D274" s="13"/>
      <c r="E274" s="13"/>
      <c r="F274" s="13"/>
    </row>
    <row r="275" spans="2:6" ht="12.5">
      <c r="B275" s="13"/>
      <c r="C275" s="13"/>
      <c r="D275" s="13"/>
      <c r="E275" s="13"/>
      <c r="F275" s="13"/>
    </row>
    <row r="276" spans="2:6" ht="12.5">
      <c r="B276" s="13"/>
      <c r="C276" s="13"/>
      <c r="D276" s="13"/>
      <c r="E276" s="13"/>
      <c r="F276" s="13"/>
    </row>
    <row r="277" spans="2:6" ht="12.5">
      <c r="B277" s="13"/>
      <c r="C277" s="13"/>
      <c r="D277" s="13"/>
      <c r="E277" s="13"/>
      <c r="F277" s="13"/>
    </row>
    <row r="278" spans="2:6" ht="12.5">
      <c r="B278" s="13"/>
      <c r="C278" s="13"/>
      <c r="D278" s="13"/>
      <c r="E278" s="13"/>
      <c r="F278" s="13"/>
    </row>
    <row r="279" spans="2:6" ht="12.5">
      <c r="B279" s="13"/>
      <c r="C279" s="13"/>
      <c r="D279" s="13"/>
      <c r="E279" s="13"/>
      <c r="F279" s="13"/>
    </row>
    <row r="280" spans="2:6" ht="12.5">
      <c r="B280" s="13"/>
      <c r="C280" s="13"/>
      <c r="D280" s="13"/>
      <c r="E280" s="13"/>
      <c r="F280" s="13"/>
    </row>
    <row r="281" spans="2:6" ht="12.5">
      <c r="B281" s="13"/>
      <c r="C281" s="13"/>
      <c r="D281" s="13"/>
      <c r="E281" s="13"/>
      <c r="F281" s="13"/>
    </row>
    <row r="282" spans="2:6" ht="12.5">
      <c r="B282" s="13"/>
      <c r="C282" s="13"/>
      <c r="D282" s="13"/>
      <c r="E282" s="13"/>
      <c r="F282" s="13"/>
    </row>
    <row r="283" spans="2:6" ht="12.5">
      <c r="B283" s="13"/>
      <c r="C283" s="13"/>
      <c r="D283" s="13"/>
      <c r="E283" s="13"/>
      <c r="F283" s="13"/>
    </row>
    <row r="284" spans="2:6" ht="12.5">
      <c r="B284" s="13"/>
      <c r="C284" s="13"/>
      <c r="D284" s="13"/>
      <c r="E284" s="13"/>
      <c r="F284" s="13"/>
    </row>
    <row r="285" spans="2:6" ht="12.5">
      <c r="B285" s="13"/>
      <c r="C285" s="13"/>
      <c r="D285" s="13"/>
      <c r="E285" s="13"/>
      <c r="F285" s="13"/>
    </row>
    <row r="286" spans="2:6" ht="12.5">
      <c r="B286" s="13"/>
      <c r="C286" s="13"/>
      <c r="D286" s="13"/>
      <c r="E286" s="13"/>
      <c r="F286" s="13"/>
    </row>
    <row r="287" spans="2:6" ht="12.5">
      <c r="B287" s="13"/>
      <c r="C287" s="13"/>
      <c r="D287" s="13"/>
      <c r="E287" s="13"/>
      <c r="F287" s="13"/>
    </row>
    <row r="288" spans="2:6" ht="12.5">
      <c r="B288" s="13"/>
      <c r="C288" s="13"/>
      <c r="D288" s="13"/>
      <c r="E288" s="13"/>
      <c r="F288" s="13"/>
    </row>
    <row r="289" spans="2:6" ht="12.5">
      <c r="B289" s="13"/>
      <c r="C289" s="13"/>
      <c r="D289" s="13"/>
      <c r="E289" s="13"/>
      <c r="F289" s="13"/>
    </row>
    <row r="290" spans="2:6" ht="12.5">
      <c r="B290" s="13"/>
      <c r="C290" s="13"/>
      <c r="D290" s="13"/>
      <c r="E290" s="13"/>
      <c r="F290" s="13"/>
    </row>
    <row r="291" spans="2:6" ht="12.5">
      <c r="B291" s="13"/>
      <c r="C291" s="13"/>
      <c r="D291" s="13"/>
      <c r="E291" s="13"/>
      <c r="F291" s="13"/>
    </row>
    <row r="292" spans="2:6" ht="12.5">
      <c r="B292" s="13"/>
      <c r="C292" s="13"/>
      <c r="D292" s="13"/>
      <c r="E292" s="13"/>
      <c r="F292" s="13"/>
    </row>
    <row r="293" spans="2:6" ht="12.5">
      <c r="B293" s="13"/>
      <c r="C293" s="13"/>
      <c r="D293" s="13"/>
      <c r="E293" s="13"/>
      <c r="F293" s="13"/>
    </row>
    <row r="294" spans="2:6" ht="12.5">
      <c r="B294" s="13"/>
      <c r="C294" s="13"/>
      <c r="D294" s="13"/>
      <c r="E294" s="13"/>
      <c r="F294" s="13"/>
    </row>
    <row r="295" spans="2:6" ht="12.5">
      <c r="B295" s="13"/>
      <c r="C295" s="13"/>
      <c r="D295" s="13"/>
      <c r="E295" s="13"/>
      <c r="F295" s="13"/>
    </row>
    <row r="296" spans="2:6" ht="12.5">
      <c r="B296" s="13"/>
      <c r="C296" s="13"/>
      <c r="D296" s="13"/>
      <c r="E296" s="13"/>
      <c r="F296" s="13"/>
    </row>
    <row r="297" spans="2:6" ht="12.5">
      <c r="B297" s="13"/>
      <c r="C297" s="13"/>
      <c r="D297" s="13"/>
      <c r="E297" s="13"/>
      <c r="F297" s="13"/>
    </row>
    <row r="298" spans="2:6" ht="12.5">
      <c r="B298" s="13"/>
      <c r="C298" s="13"/>
      <c r="D298" s="13"/>
      <c r="E298" s="13"/>
      <c r="F298" s="13"/>
    </row>
    <row r="299" spans="2:6" ht="12.5">
      <c r="B299" s="13"/>
      <c r="C299" s="13"/>
      <c r="D299" s="13"/>
      <c r="E299" s="13"/>
      <c r="F299" s="13"/>
    </row>
    <row r="300" spans="2:6" ht="12.5">
      <c r="B300" s="13"/>
      <c r="C300" s="13"/>
      <c r="D300" s="13"/>
      <c r="E300" s="13"/>
      <c r="F300" s="13"/>
    </row>
    <row r="301" spans="2:6" ht="12.5">
      <c r="B301" s="13"/>
      <c r="C301" s="13"/>
      <c r="D301" s="13"/>
      <c r="E301" s="13"/>
      <c r="F301" s="13"/>
    </row>
    <row r="302" spans="2:6" ht="12.5">
      <c r="B302" s="13"/>
      <c r="C302" s="13"/>
      <c r="D302" s="13"/>
      <c r="E302" s="13"/>
      <c r="F302" s="13"/>
    </row>
    <row r="303" spans="2:6" ht="12.5">
      <c r="B303" s="13"/>
      <c r="C303" s="13"/>
      <c r="D303" s="13"/>
      <c r="E303" s="13"/>
      <c r="F303" s="13"/>
    </row>
    <row r="304" spans="2:6" ht="12.5">
      <c r="B304" s="13"/>
      <c r="C304" s="13"/>
      <c r="D304" s="13"/>
      <c r="E304" s="13"/>
      <c r="F304" s="13"/>
    </row>
    <row r="305" spans="2:6" ht="12.5">
      <c r="B305" s="13"/>
      <c r="C305" s="13"/>
      <c r="D305" s="13"/>
      <c r="E305" s="13"/>
      <c r="F305" s="13"/>
    </row>
    <row r="306" spans="2:6" ht="12.5">
      <c r="B306" s="13"/>
      <c r="C306" s="13"/>
      <c r="D306" s="13"/>
      <c r="E306" s="13"/>
      <c r="F306" s="13"/>
    </row>
    <row r="307" spans="2:6" ht="12.5">
      <c r="B307" s="13"/>
      <c r="C307" s="13"/>
      <c r="D307" s="13"/>
      <c r="E307" s="13"/>
      <c r="F307" s="13"/>
    </row>
    <row r="308" spans="2:6" ht="12.5">
      <c r="B308" s="13"/>
      <c r="C308" s="13"/>
      <c r="D308" s="13"/>
      <c r="E308" s="13"/>
      <c r="F308" s="13"/>
    </row>
    <row r="309" spans="2:6" ht="12.5">
      <c r="B309" s="13"/>
      <c r="C309" s="13"/>
      <c r="D309" s="13"/>
      <c r="E309" s="13"/>
      <c r="F309" s="13"/>
    </row>
    <row r="310" spans="2:6" ht="12.5">
      <c r="B310" s="13"/>
      <c r="C310" s="13"/>
      <c r="D310" s="13"/>
      <c r="E310" s="13"/>
      <c r="F310" s="13"/>
    </row>
    <row r="311" spans="2:6" ht="12.5">
      <c r="B311" s="13"/>
      <c r="C311" s="13"/>
      <c r="D311" s="13"/>
      <c r="E311" s="13"/>
      <c r="F311" s="13"/>
    </row>
    <row r="312" spans="2:6" ht="12.5">
      <c r="B312" s="13"/>
      <c r="C312" s="13"/>
      <c r="D312" s="13"/>
      <c r="E312" s="13"/>
      <c r="F312" s="13"/>
    </row>
    <row r="313" spans="2:6" ht="12.5">
      <c r="B313" s="13"/>
      <c r="C313" s="13"/>
      <c r="D313" s="13"/>
      <c r="E313" s="13"/>
      <c r="F313" s="13"/>
    </row>
    <row r="314" spans="2:6" ht="12.5">
      <c r="B314" s="13"/>
      <c r="C314" s="13"/>
      <c r="D314" s="13"/>
      <c r="E314" s="13"/>
      <c r="F314" s="13"/>
    </row>
    <row r="315" spans="2:6" ht="12.5">
      <c r="B315" s="13"/>
      <c r="C315" s="13"/>
      <c r="D315" s="13"/>
      <c r="E315" s="13"/>
      <c r="F315" s="13"/>
    </row>
    <row r="316" spans="2:6" ht="12.5">
      <c r="B316" s="13"/>
      <c r="C316" s="13"/>
      <c r="D316" s="13"/>
      <c r="E316" s="13"/>
      <c r="F316" s="13"/>
    </row>
    <row r="317" spans="2:6" ht="12.5">
      <c r="B317" s="13"/>
      <c r="C317" s="13"/>
      <c r="D317" s="13"/>
      <c r="E317" s="13"/>
      <c r="F317" s="13"/>
    </row>
    <row r="318" spans="2:6" ht="12.5">
      <c r="B318" s="13"/>
      <c r="C318" s="13"/>
      <c r="D318" s="13"/>
      <c r="E318" s="13"/>
      <c r="F318" s="13"/>
    </row>
    <row r="319" spans="2:6" ht="12.5">
      <c r="B319" s="13"/>
      <c r="C319" s="13"/>
      <c r="D319" s="13"/>
      <c r="E319" s="13"/>
      <c r="F319" s="13"/>
    </row>
    <row r="320" spans="2:6" ht="12.5">
      <c r="B320" s="13"/>
      <c r="C320" s="13"/>
      <c r="D320" s="13"/>
      <c r="E320" s="13"/>
      <c r="F320" s="13"/>
    </row>
    <row r="321" spans="2:6" ht="12.5">
      <c r="B321" s="13"/>
      <c r="C321" s="13"/>
      <c r="D321" s="13"/>
      <c r="E321" s="13"/>
      <c r="F321" s="13"/>
    </row>
    <row r="322" spans="2:6" ht="12.5">
      <c r="B322" s="13"/>
      <c r="C322" s="13"/>
      <c r="D322" s="13"/>
      <c r="E322" s="13"/>
      <c r="F322" s="13"/>
    </row>
    <row r="323" spans="2:6" ht="12.5">
      <c r="B323" s="13"/>
      <c r="C323" s="13"/>
      <c r="D323" s="13"/>
      <c r="E323" s="13"/>
      <c r="F323" s="13"/>
    </row>
    <row r="324" spans="2:6" ht="12.5">
      <c r="B324" s="13"/>
      <c r="C324" s="13"/>
      <c r="D324" s="13"/>
      <c r="E324" s="13"/>
      <c r="F324" s="13"/>
    </row>
    <row r="325" spans="2:6" ht="12.5">
      <c r="B325" s="13"/>
      <c r="C325" s="13"/>
      <c r="D325" s="13"/>
      <c r="E325" s="13"/>
      <c r="F325" s="13"/>
    </row>
    <row r="326" spans="2:6" ht="12.5">
      <c r="B326" s="13"/>
      <c r="C326" s="13"/>
      <c r="D326" s="13"/>
      <c r="E326" s="13"/>
      <c r="F326" s="13"/>
    </row>
    <row r="327" spans="2:6" ht="12.5">
      <c r="B327" s="13"/>
      <c r="C327" s="13"/>
      <c r="D327" s="13"/>
      <c r="E327" s="13"/>
      <c r="F327" s="13"/>
    </row>
    <row r="328" spans="2:6" ht="12.5">
      <c r="B328" s="13"/>
      <c r="C328" s="13"/>
      <c r="D328" s="13"/>
      <c r="E328" s="13"/>
      <c r="F328" s="13"/>
    </row>
    <row r="329" spans="2:6" ht="12.5">
      <c r="B329" s="13"/>
      <c r="C329" s="13"/>
      <c r="D329" s="13"/>
      <c r="E329" s="13"/>
      <c r="F329" s="13"/>
    </row>
    <row r="330" spans="2:6" ht="12.5">
      <c r="B330" s="13"/>
      <c r="C330" s="13"/>
      <c r="D330" s="13"/>
      <c r="E330" s="13"/>
      <c r="F330" s="13"/>
    </row>
    <row r="331" spans="2:6" ht="12.5">
      <c r="B331" s="13"/>
      <c r="C331" s="13"/>
      <c r="D331" s="13"/>
      <c r="E331" s="13"/>
      <c r="F331" s="13"/>
    </row>
    <row r="332" spans="2:6" ht="12.5">
      <c r="B332" s="13"/>
      <c r="C332" s="13"/>
      <c r="D332" s="13"/>
      <c r="E332" s="13"/>
      <c r="F332" s="13"/>
    </row>
    <row r="333" spans="2:6" ht="12.5">
      <c r="B333" s="13"/>
      <c r="C333" s="13"/>
      <c r="D333" s="13"/>
      <c r="E333" s="13"/>
      <c r="F333" s="13"/>
    </row>
    <row r="334" spans="2:6" ht="12.5">
      <c r="B334" s="13"/>
      <c r="C334" s="13"/>
      <c r="D334" s="13"/>
      <c r="E334" s="13"/>
      <c r="F334" s="13"/>
    </row>
    <row r="335" spans="2:6" ht="12.5">
      <c r="B335" s="13"/>
      <c r="C335" s="13"/>
      <c r="D335" s="13"/>
      <c r="E335" s="13"/>
      <c r="F335" s="13"/>
    </row>
    <row r="336" spans="2:6" ht="12.5">
      <c r="B336" s="13"/>
      <c r="C336" s="13"/>
      <c r="D336" s="13"/>
      <c r="E336" s="13"/>
      <c r="F336" s="13"/>
    </row>
    <row r="337" spans="2:6" ht="12.5">
      <c r="B337" s="13"/>
      <c r="C337" s="13"/>
      <c r="D337" s="13"/>
      <c r="E337" s="13"/>
      <c r="F337" s="13"/>
    </row>
    <row r="338" spans="2:6" ht="12.5">
      <c r="B338" s="13"/>
      <c r="C338" s="13"/>
      <c r="D338" s="13"/>
      <c r="E338" s="13"/>
      <c r="F338" s="13"/>
    </row>
    <row r="339" spans="2:6" ht="12.5">
      <c r="B339" s="13"/>
      <c r="C339" s="13"/>
      <c r="D339" s="13"/>
      <c r="E339" s="13"/>
      <c r="F339" s="13"/>
    </row>
    <row r="340" spans="2:6" ht="12.5">
      <c r="B340" s="13"/>
      <c r="C340" s="13"/>
      <c r="D340" s="13"/>
      <c r="E340" s="13"/>
      <c r="F340" s="13"/>
    </row>
    <row r="341" spans="2:6" ht="12.5">
      <c r="B341" s="13"/>
      <c r="C341" s="13"/>
      <c r="D341" s="13"/>
      <c r="E341" s="13"/>
      <c r="F341" s="13"/>
    </row>
    <row r="342" spans="2:6" ht="12.5">
      <c r="B342" s="13"/>
      <c r="C342" s="13"/>
      <c r="D342" s="13"/>
      <c r="E342" s="13"/>
      <c r="F342" s="13"/>
    </row>
    <row r="343" spans="2:6" ht="12.5">
      <c r="B343" s="13"/>
      <c r="C343" s="13"/>
      <c r="D343" s="13"/>
      <c r="E343" s="13"/>
      <c r="F343" s="13"/>
    </row>
    <row r="344" spans="2:6" ht="12.5">
      <c r="B344" s="13"/>
      <c r="C344" s="13"/>
      <c r="D344" s="13"/>
      <c r="E344" s="13"/>
      <c r="F344" s="13"/>
    </row>
    <row r="345" spans="2:6" ht="12.5">
      <c r="B345" s="13"/>
      <c r="C345" s="13"/>
      <c r="D345" s="13"/>
      <c r="E345" s="13"/>
      <c r="F345" s="13"/>
    </row>
    <row r="346" spans="2:6" ht="12.5">
      <c r="B346" s="13"/>
      <c r="C346" s="13"/>
      <c r="D346" s="13"/>
      <c r="E346" s="13"/>
      <c r="F346" s="13"/>
    </row>
    <row r="347" spans="2:6" ht="12.5">
      <c r="B347" s="13"/>
      <c r="C347" s="13"/>
      <c r="D347" s="13"/>
      <c r="E347" s="13"/>
      <c r="F347" s="13"/>
    </row>
    <row r="348" spans="2:6" ht="12.5">
      <c r="B348" s="13"/>
      <c r="C348" s="13"/>
      <c r="D348" s="13"/>
      <c r="E348" s="13"/>
      <c r="F348" s="13"/>
    </row>
    <row r="349" spans="2:6" ht="12.5">
      <c r="B349" s="13"/>
      <c r="C349" s="13"/>
      <c r="D349" s="13"/>
      <c r="E349" s="13"/>
      <c r="F349" s="13"/>
    </row>
    <row r="350" spans="2:6" ht="12.5">
      <c r="B350" s="13"/>
      <c r="C350" s="13"/>
      <c r="D350" s="13"/>
      <c r="E350" s="13"/>
      <c r="F350" s="13"/>
    </row>
    <row r="351" spans="2:6" ht="12.5">
      <c r="B351" s="13"/>
      <c r="C351" s="13"/>
      <c r="D351" s="13"/>
      <c r="E351" s="13"/>
      <c r="F351" s="13"/>
    </row>
    <row r="352" spans="2:6" ht="12.5">
      <c r="B352" s="13"/>
      <c r="C352" s="13"/>
      <c r="D352" s="13"/>
      <c r="E352" s="13"/>
      <c r="F352" s="13"/>
    </row>
    <row r="353" spans="2:6" ht="12.5">
      <c r="B353" s="13"/>
      <c r="C353" s="13"/>
      <c r="D353" s="13"/>
      <c r="E353" s="13"/>
      <c r="F353" s="13"/>
    </row>
    <row r="354" spans="2:6" ht="12.5">
      <c r="B354" s="13"/>
      <c r="C354" s="13"/>
      <c r="D354" s="13"/>
      <c r="E354" s="13"/>
      <c r="F354" s="13"/>
    </row>
    <row r="355" spans="2:6" ht="12.5">
      <c r="B355" s="13"/>
      <c r="C355" s="13"/>
      <c r="D355" s="13"/>
      <c r="E355" s="13"/>
      <c r="F355" s="13"/>
    </row>
    <row r="356" spans="2:6" ht="12.5">
      <c r="B356" s="13"/>
      <c r="C356" s="13"/>
      <c r="D356" s="13"/>
      <c r="E356" s="13"/>
      <c r="F356" s="13"/>
    </row>
    <row r="357" spans="2:6" ht="12.5">
      <c r="B357" s="13"/>
      <c r="C357" s="13"/>
      <c r="D357" s="13"/>
      <c r="E357" s="13"/>
      <c r="F357" s="13"/>
    </row>
    <row r="358" spans="2:6" ht="12.5">
      <c r="B358" s="13"/>
      <c r="C358" s="13"/>
      <c r="D358" s="13"/>
      <c r="E358" s="13"/>
      <c r="F358" s="13"/>
    </row>
    <row r="359" spans="2:6" ht="12.5">
      <c r="B359" s="13"/>
      <c r="C359" s="13"/>
      <c r="D359" s="13"/>
      <c r="E359" s="13"/>
      <c r="F359" s="13"/>
    </row>
    <row r="360" spans="2:6" ht="12.5">
      <c r="B360" s="13"/>
      <c r="C360" s="13"/>
      <c r="D360" s="13"/>
      <c r="E360" s="13"/>
      <c r="F360" s="13"/>
    </row>
    <row r="361" spans="2:6" ht="12.5">
      <c r="B361" s="13"/>
      <c r="C361" s="13"/>
      <c r="D361" s="13"/>
      <c r="E361" s="13"/>
      <c r="F361" s="13"/>
    </row>
    <row r="362" spans="2:6" ht="12.5">
      <c r="B362" s="13"/>
      <c r="C362" s="13"/>
      <c r="D362" s="13"/>
      <c r="E362" s="13"/>
      <c r="F362" s="13"/>
    </row>
    <row r="363" spans="2:6" ht="12.5">
      <c r="B363" s="13"/>
      <c r="C363" s="13"/>
      <c r="D363" s="13"/>
      <c r="E363" s="13"/>
      <c r="F363" s="13"/>
    </row>
    <row r="364" spans="2:6" ht="12.5">
      <c r="B364" s="13"/>
      <c r="C364" s="13"/>
      <c r="D364" s="13"/>
      <c r="E364" s="13"/>
      <c r="F364" s="13"/>
    </row>
    <row r="365" spans="2:6" ht="12.5">
      <c r="B365" s="13"/>
      <c r="C365" s="13"/>
      <c r="D365" s="13"/>
      <c r="E365" s="13"/>
      <c r="F365" s="13"/>
    </row>
    <row r="366" spans="2:6" ht="12.5">
      <c r="B366" s="13"/>
      <c r="C366" s="13"/>
      <c r="D366" s="13"/>
      <c r="E366" s="13"/>
      <c r="F366" s="13"/>
    </row>
    <row r="367" spans="2:6" ht="12.5">
      <c r="B367" s="13"/>
      <c r="C367" s="13"/>
      <c r="D367" s="13"/>
      <c r="E367" s="13"/>
      <c r="F367" s="13"/>
    </row>
    <row r="368" spans="2:6" ht="12.5">
      <c r="B368" s="13"/>
      <c r="C368" s="13"/>
      <c r="D368" s="13"/>
      <c r="E368" s="13"/>
      <c r="F368" s="13"/>
    </row>
    <row r="369" spans="2:6" ht="12.5">
      <c r="B369" s="13"/>
      <c r="C369" s="13"/>
      <c r="D369" s="13"/>
      <c r="E369" s="13"/>
      <c r="F369" s="13"/>
    </row>
    <row r="370" spans="2:6" ht="12.5">
      <c r="B370" s="13"/>
      <c r="C370" s="13"/>
      <c r="D370" s="13"/>
      <c r="E370" s="13"/>
      <c r="F370" s="13"/>
    </row>
    <row r="371" spans="2:6" ht="12.5">
      <c r="B371" s="13"/>
      <c r="C371" s="13"/>
      <c r="D371" s="13"/>
      <c r="E371" s="13"/>
      <c r="F371" s="13"/>
    </row>
    <row r="372" spans="2:6" ht="12.5">
      <c r="B372" s="13"/>
      <c r="C372" s="13"/>
      <c r="D372" s="13"/>
      <c r="E372" s="13"/>
      <c r="F372" s="13"/>
    </row>
    <row r="373" spans="2:6" ht="12.5">
      <c r="B373" s="13"/>
      <c r="C373" s="13"/>
      <c r="D373" s="13"/>
      <c r="E373" s="13"/>
      <c r="F373" s="13"/>
    </row>
    <row r="374" spans="2:6" ht="12.5">
      <c r="B374" s="13"/>
      <c r="C374" s="13"/>
      <c r="D374" s="13"/>
      <c r="E374" s="13"/>
      <c r="F374" s="13"/>
    </row>
    <row r="375" spans="2:6" ht="12.5">
      <c r="B375" s="13"/>
      <c r="C375" s="13"/>
      <c r="D375" s="13"/>
      <c r="E375" s="13"/>
      <c r="F375" s="13"/>
    </row>
    <row r="376" spans="2:6" ht="12.5">
      <c r="B376" s="13"/>
      <c r="C376" s="13"/>
      <c r="D376" s="13"/>
      <c r="E376" s="13"/>
      <c r="F376" s="13"/>
    </row>
    <row r="377" spans="2:6" ht="12.5">
      <c r="B377" s="13"/>
      <c r="C377" s="13"/>
      <c r="D377" s="13"/>
      <c r="E377" s="13"/>
      <c r="F377" s="13"/>
    </row>
    <row r="378" spans="2:6" ht="12.5">
      <c r="B378" s="13"/>
      <c r="C378" s="13"/>
      <c r="D378" s="13"/>
      <c r="E378" s="13"/>
      <c r="F378" s="13"/>
    </row>
    <row r="379" spans="2:6" ht="12.5">
      <c r="B379" s="13"/>
      <c r="C379" s="13"/>
      <c r="D379" s="13"/>
      <c r="E379" s="13"/>
      <c r="F379" s="13"/>
    </row>
    <row r="380" spans="2:6" ht="12.5">
      <c r="B380" s="13"/>
      <c r="C380" s="13"/>
      <c r="D380" s="13"/>
      <c r="E380" s="13"/>
      <c r="F380" s="13"/>
    </row>
    <row r="381" spans="2:6" ht="12.5">
      <c r="B381" s="13"/>
      <c r="C381" s="13"/>
      <c r="D381" s="13"/>
      <c r="E381" s="13"/>
      <c r="F381" s="13"/>
    </row>
    <row r="382" spans="2:6" ht="12.5">
      <c r="B382" s="13"/>
      <c r="C382" s="13"/>
      <c r="D382" s="13"/>
      <c r="E382" s="13"/>
      <c r="F382" s="13"/>
    </row>
    <row r="383" spans="2:6" ht="12.5">
      <c r="B383" s="13"/>
      <c r="C383" s="13"/>
      <c r="D383" s="13"/>
      <c r="E383" s="13"/>
      <c r="F383" s="13"/>
    </row>
    <row r="384" spans="2:6" ht="12.5">
      <c r="B384" s="13"/>
      <c r="C384" s="13"/>
      <c r="D384" s="13"/>
      <c r="E384" s="13"/>
      <c r="F384" s="13"/>
    </row>
    <row r="385" spans="2:6" ht="12.5">
      <c r="B385" s="13"/>
      <c r="C385" s="13"/>
      <c r="D385" s="13"/>
      <c r="E385" s="13"/>
      <c r="F385" s="13"/>
    </row>
    <row r="386" spans="2:6" ht="12.5">
      <c r="B386" s="13"/>
      <c r="C386" s="13"/>
      <c r="D386" s="13"/>
      <c r="E386" s="13"/>
      <c r="F386" s="13"/>
    </row>
    <row r="387" spans="2:6" ht="12.5">
      <c r="B387" s="13"/>
      <c r="C387" s="13"/>
      <c r="D387" s="13"/>
      <c r="E387" s="13"/>
      <c r="F387" s="13"/>
    </row>
    <row r="388" spans="2:6" ht="12.5">
      <c r="B388" s="13"/>
      <c r="C388" s="13"/>
      <c r="D388" s="13"/>
      <c r="E388" s="13"/>
      <c r="F388" s="13"/>
    </row>
    <row r="389" spans="2:6" ht="12.5">
      <c r="B389" s="13"/>
      <c r="C389" s="13"/>
      <c r="D389" s="13"/>
      <c r="E389" s="13"/>
      <c r="F389" s="13"/>
    </row>
    <row r="390" spans="2:6" ht="12.5">
      <c r="B390" s="13"/>
      <c r="C390" s="13"/>
      <c r="D390" s="13"/>
      <c r="E390" s="13"/>
      <c r="F390" s="13"/>
    </row>
    <row r="391" spans="2:6" ht="12.5">
      <c r="B391" s="13"/>
      <c r="C391" s="13"/>
      <c r="D391" s="13"/>
      <c r="E391" s="13"/>
      <c r="F391" s="13"/>
    </row>
    <row r="392" spans="2:6" ht="12.5">
      <c r="B392" s="13"/>
      <c r="C392" s="13"/>
      <c r="D392" s="13"/>
      <c r="E392" s="13"/>
      <c r="F392" s="13"/>
    </row>
    <row r="393" spans="2:6" ht="12.5">
      <c r="B393" s="13"/>
      <c r="C393" s="13"/>
      <c r="D393" s="13"/>
      <c r="E393" s="13"/>
      <c r="F393" s="13"/>
    </row>
    <row r="394" spans="2:6" ht="12.5">
      <c r="B394" s="13"/>
      <c r="C394" s="13"/>
      <c r="D394" s="13"/>
      <c r="E394" s="13"/>
      <c r="F394" s="13"/>
    </row>
    <row r="395" spans="2:6" ht="12.5">
      <c r="B395" s="13"/>
      <c r="C395" s="13"/>
      <c r="D395" s="13"/>
      <c r="E395" s="13"/>
      <c r="F395" s="13"/>
    </row>
    <row r="396" spans="2:6" ht="12.5">
      <c r="B396" s="13"/>
      <c r="C396" s="13"/>
      <c r="D396" s="13"/>
      <c r="E396" s="13"/>
      <c r="F396" s="13"/>
    </row>
    <row r="397" spans="2:6" ht="12.5">
      <c r="B397" s="13"/>
      <c r="C397" s="13"/>
      <c r="D397" s="13"/>
      <c r="E397" s="13"/>
      <c r="F397" s="13"/>
    </row>
    <row r="398" spans="2:6" ht="12.5">
      <c r="B398" s="13"/>
      <c r="C398" s="13"/>
      <c r="D398" s="13"/>
      <c r="E398" s="13"/>
      <c r="F398" s="13"/>
    </row>
    <row r="399" spans="2:6" ht="12.5">
      <c r="B399" s="13"/>
      <c r="C399" s="13"/>
      <c r="D399" s="13"/>
      <c r="E399" s="13"/>
      <c r="F399" s="13"/>
    </row>
    <row r="400" spans="2:6" ht="12.5">
      <c r="B400" s="13"/>
      <c r="C400" s="13"/>
      <c r="D400" s="13"/>
      <c r="E400" s="13"/>
      <c r="F400" s="13"/>
    </row>
    <row r="401" spans="2:6" ht="12.5">
      <c r="B401" s="13"/>
      <c r="C401" s="13"/>
      <c r="D401" s="13"/>
      <c r="E401" s="13"/>
      <c r="F401" s="13"/>
    </row>
    <row r="402" spans="2:6" ht="12.5">
      <c r="B402" s="13"/>
      <c r="C402" s="13"/>
      <c r="D402" s="13"/>
      <c r="E402" s="13"/>
      <c r="F402" s="13"/>
    </row>
    <row r="403" spans="2:6" ht="12.5">
      <c r="B403" s="13"/>
      <c r="C403" s="13"/>
      <c r="D403" s="13"/>
      <c r="E403" s="13"/>
      <c r="F403" s="13"/>
    </row>
    <row r="404" spans="2:6" ht="12.5">
      <c r="B404" s="13"/>
      <c r="C404" s="13"/>
      <c r="D404" s="13"/>
      <c r="E404" s="13"/>
      <c r="F404" s="13"/>
    </row>
    <row r="405" spans="2:6" ht="12.5">
      <c r="B405" s="13"/>
      <c r="C405" s="13"/>
      <c r="D405" s="13"/>
      <c r="E405" s="13"/>
      <c r="F405" s="13"/>
    </row>
    <row r="406" spans="2:6" ht="12.5">
      <c r="B406" s="13"/>
      <c r="C406" s="13"/>
      <c r="D406" s="13"/>
      <c r="E406" s="13"/>
      <c r="F406" s="13"/>
    </row>
    <row r="407" spans="2:6" ht="12.5">
      <c r="B407" s="13"/>
      <c r="C407" s="13"/>
      <c r="D407" s="13"/>
      <c r="E407" s="13"/>
      <c r="F407" s="13"/>
    </row>
    <row r="408" spans="2:6" ht="12.5">
      <c r="B408" s="13"/>
      <c r="C408" s="13"/>
      <c r="D408" s="13"/>
      <c r="E408" s="13"/>
      <c r="F408" s="13"/>
    </row>
    <row r="409" spans="2:6" ht="12.5">
      <c r="B409" s="13"/>
      <c r="C409" s="13"/>
      <c r="D409" s="13"/>
      <c r="E409" s="13"/>
      <c r="F409" s="13"/>
    </row>
    <row r="410" spans="2:6" ht="12.5">
      <c r="B410" s="13"/>
      <c r="C410" s="13"/>
      <c r="D410" s="13"/>
      <c r="E410" s="13"/>
      <c r="F410" s="13"/>
    </row>
    <row r="411" spans="2:6" ht="12.5">
      <c r="B411" s="13"/>
      <c r="C411" s="13"/>
      <c r="D411" s="13"/>
      <c r="E411" s="13"/>
      <c r="F411" s="13"/>
    </row>
    <row r="412" spans="2:6" ht="12.5">
      <c r="B412" s="13"/>
      <c r="C412" s="13"/>
      <c r="D412" s="13"/>
      <c r="E412" s="13"/>
      <c r="F412" s="13"/>
    </row>
    <row r="413" spans="2:6" ht="12.5">
      <c r="B413" s="13"/>
      <c r="C413" s="13"/>
      <c r="D413" s="13"/>
      <c r="E413" s="13"/>
      <c r="F413" s="13"/>
    </row>
    <row r="414" spans="2:6" ht="12.5">
      <c r="B414" s="13"/>
      <c r="C414" s="13"/>
      <c r="D414" s="13"/>
      <c r="E414" s="13"/>
      <c r="F414" s="13"/>
    </row>
    <row r="415" spans="2:6" ht="12.5">
      <c r="B415" s="13"/>
      <c r="C415" s="13"/>
      <c r="D415" s="13"/>
      <c r="E415" s="13"/>
      <c r="F415" s="13"/>
    </row>
    <row r="416" spans="2:6" ht="12.5">
      <c r="B416" s="13"/>
      <c r="C416" s="13"/>
      <c r="D416" s="13"/>
      <c r="E416" s="13"/>
      <c r="F416" s="13"/>
    </row>
    <row r="417" spans="2:6" ht="12.5">
      <c r="B417" s="13"/>
      <c r="C417" s="13"/>
      <c r="D417" s="13"/>
      <c r="E417" s="13"/>
      <c r="F417" s="13"/>
    </row>
    <row r="418" spans="2:6" ht="12.5">
      <c r="B418" s="13"/>
      <c r="C418" s="13"/>
      <c r="D418" s="13"/>
      <c r="E418" s="13"/>
      <c r="F418" s="13"/>
    </row>
    <row r="419" spans="2:6" ht="12.5">
      <c r="B419" s="13"/>
      <c r="C419" s="13"/>
      <c r="D419" s="13"/>
      <c r="E419" s="13"/>
      <c r="F419" s="13"/>
    </row>
    <row r="420" spans="2:6" ht="12.5">
      <c r="B420" s="13"/>
      <c r="C420" s="13"/>
      <c r="D420" s="13"/>
      <c r="E420" s="13"/>
      <c r="F420" s="13"/>
    </row>
    <row r="421" spans="2:6" ht="12.5">
      <c r="B421" s="13"/>
      <c r="C421" s="13"/>
      <c r="D421" s="13"/>
      <c r="E421" s="13"/>
      <c r="F421" s="13"/>
    </row>
    <row r="422" spans="2:6" ht="12.5">
      <c r="B422" s="13"/>
      <c r="C422" s="13"/>
      <c r="D422" s="13"/>
      <c r="E422" s="13"/>
      <c r="F422" s="13"/>
    </row>
    <row r="423" spans="2:6" ht="12.5">
      <c r="B423" s="13"/>
      <c r="C423" s="13"/>
      <c r="D423" s="13"/>
      <c r="E423" s="13"/>
      <c r="F423" s="13"/>
    </row>
    <row r="424" spans="2:6" ht="12.5">
      <c r="B424" s="13"/>
      <c r="C424" s="13"/>
      <c r="D424" s="13"/>
      <c r="E424" s="13"/>
      <c r="F424" s="13"/>
    </row>
    <row r="425" spans="2:6" ht="12.5">
      <c r="B425" s="13"/>
      <c r="C425" s="13"/>
      <c r="D425" s="13"/>
      <c r="E425" s="13"/>
      <c r="F425" s="13"/>
    </row>
    <row r="426" spans="2:6" ht="12.5">
      <c r="B426" s="13"/>
      <c r="C426" s="13"/>
      <c r="D426" s="13"/>
      <c r="E426" s="13"/>
      <c r="F426" s="13"/>
    </row>
    <row r="427" spans="2:6" ht="12.5">
      <c r="B427" s="13"/>
      <c r="C427" s="13"/>
      <c r="D427" s="13"/>
      <c r="E427" s="13"/>
      <c r="F427" s="13"/>
    </row>
    <row r="428" spans="2:6" ht="12.5">
      <c r="B428" s="13"/>
      <c r="C428" s="13"/>
      <c r="D428" s="13"/>
      <c r="E428" s="13"/>
      <c r="F428" s="13"/>
    </row>
    <row r="429" spans="2:6" ht="12.5">
      <c r="B429" s="13"/>
      <c r="C429" s="13"/>
      <c r="D429" s="13"/>
      <c r="E429" s="13"/>
      <c r="F429" s="13"/>
    </row>
    <row r="430" spans="2:6" ht="12.5">
      <c r="B430" s="13"/>
      <c r="C430" s="13"/>
      <c r="D430" s="13"/>
      <c r="E430" s="13"/>
      <c r="F430" s="13"/>
    </row>
    <row r="431" spans="2:6" ht="12.5">
      <c r="B431" s="13"/>
      <c r="C431" s="13"/>
      <c r="D431" s="13"/>
      <c r="E431" s="13"/>
      <c r="F431" s="13"/>
    </row>
    <row r="432" spans="2:6" ht="12.5">
      <c r="B432" s="13"/>
      <c r="C432" s="13"/>
      <c r="D432" s="13"/>
      <c r="E432" s="13"/>
      <c r="F432" s="13"/>
    </row>
    <row r="433" spans="2:6" ht="12.5">
      <c r="B433" s="13"/>
      <c r="C433" s="13"/>
      <c r="D433" s="13"/>
      <c r="E433" s="13"/>
      <c r="F433" s="13"/>
    </row>
    <row r="434" spans="2:6" ht="12.5">
      <c r="B434" s="13"/>
      <c r="C434" s="13"/>
      <c r="D434" s="13"/>
      <c r="E434" s="13"/>
      <c r="F434" s="13"/>
    </row>
    <row r="435" spans="2:6" ht="12.5">
      <c r="B435" s="13"/>
      <c r="C435" s="13"/>
      <c r="D435" s="13"/>
      <c r="E435" s="13"/>
      <c r="F435" s="13"/>
    </row>
    <row r="436" spans="2:6" ht="12.5">
      <c r="B436" s="13"/>
      <c r="C436" s="13"/>
      <c r="D436" s="13"/>
      <c r="E436" s="13"/>
      <c r="F436" s="13"/>
    </row>
    <row r="437" spans="2:6" ht="12.5">
      <c r="B437" s="13"/>
      <c r="C437" s="13"/>
      <c r="D437" s="13"/>
      <c r="E437" s="13"/>
      <c r="F437" s="13"/>
    </row>
    <row r="438" spans="2:6" ht="12.5">
      <c r="B438" s="13"/>
      <c r="C438" s="13"/>
      <c r="D438" s="13"/>
      <c r="E438" s="13"/>
      <c r="F438" s="13"/>
    </row>
    <row r="439" spans="2:6" ht="12.5">
      <c r="B439" s="13"/>
      <c r="C439" s="13"/>
      <c r="D439" s="13"/>
      <c r="E439" s="13"/>
      <c r="F439" s="13"/>
    </row>
    <row r="440" spans="2:6" ht="12.5">
      <c r="B440" s="13"/>
      <c r="C440" s="13"/>
      <c r="D440" s="13"/>
      <c r="E440" s="13"/>
      <c r="F440" s="13"/>
    </row>
    <row r="441" spans="2:6" ht="12.5">
      <c r="B441" s="13"/>
      <c r="C441" s="13"/>
      <c r="D441" s="13"/>
      <c r="E441" s="13"/>
      <c r="F441" s="13"/>
    </row>
    <row r="442" spans="2:6" ht="12.5">
      <c r="B442" s="13"/>
      <c r="C442" s="13"/>
      <c r="D442" s="13"/>
      <c r="E442" s="13"/>
      <c r="F442" s="13"/>
    </row>
    <row r="443" spans="2:6" ht="12.5">
      <c r="B443" s="13"/>
      <c r="C443" s="13"/>
      <c r="D443" s="13"/>
      <c r="E443" s="13"/>
      <c r="F443" s="13"/>
    </row>
    <row r="444" spans="2:6" ht="12.5">
      <c r="B444" s="13"/>
      <c r="C444" s="13"/>
      <c r="D444" s="13"/>
      <c r="E444" s="13"/>
      <c r="F444" s="13"/>
    </row>
    <row r="445" spans="2:6" ht="12.5">
      <c r="B445" s="13"/>
      <c r="C445" s="13"/>
      <c r="D445" s="13"/>
      <c r="E445" s="13"/>
      <c r="F445" s="13"/>
    </row>
    <row r="446" spans="2:6" ht="12.5">
      <c r="B446" s="13"/>
      <c r="C446" s="13"/>
      <c r="D446" s="13"/>
      <c r="E446" s="13"/>
      <c r="F446" s="13"/>
    </row>
    <row r="447" spans="2:6" ht="12.5">
      <c r="B447" s="13"/>
      <c r="C447" s="13"/>
      <c r="D447" s="13"/>
      <c r="E447" s="13"/>
      <c r="F447" s="13"/>
    </row>
    <row r="448" spans="2:6" ht="12.5">
      <c r="B448" s="13"/>
      <c r="C448" s="13"/>
      <c r="D448" s="13"/>
      <c r="E448" s="13"/>
      <c r="F448" s="13"/>
    </row>
    <row r="449" spans="2:6" ht="12.5">
      <c r="B449" s="13"/>
      <c r="C449" s="13"/>
      <c r="D449" s="13"/>
      <c r="E449" s="13"/>
      <c r="F449" s="13"/>
    </row>
    <row r="450" spans="2:6" ht="12.5">
      <c r="B450" s="13"/>
      <c r="C450" s="13"/>
      <c r="D450" s="13"/>
      <c r="E450" s="13"/>
      <c r="F450" s="13"/>
    </row>
    <row r="451" spans="2:6" ht="12.5">
      <c r="B451" s="13"/>
      <c r="C451" s="13"/>
      <c r="D451" s="13"/>
      <c r="E451" s="13"/>
      <c r="F451" s="13"/>
    </row>
    <row r="452" spans="2:6" ht="12.5">
      <c r="B452" s="13"/>
      <c r="C452" s="13"/>
      <c r="D452" s="13"/>
      <c r="E452" s="13"/>
      <c r="F452" s="13"/>
    </row>
    <row r="453" spans="2:6" ht="12.5">
      <c r="B453" s="13"/>
      <c r="C453" s="13"/>
      <c r="D453" s="13"/>
      <c r="E453" s="13"/>
      <c r="F453" s="13"/>
    </row>
    <row r="454" spans="2:6" ht="12.5">
      <c r="B454" s="13"/>
      <c r="C454" s="13"/>
      <c r="D454" s="13"/>
      <c r="E454" s="13"/>
      <c r="F454" s="13"/>
    </row>
    <row r="455" spans="2:6" ht="12.5">
      <c r="B455" s="13"/>
      <c r="C455" s="13"/>
      <c r="D455" s="13"/>
      <c r="E455" s="13"/>
      <c r="F455" s="13"/>
    </row>
    <row r="456" spans="2:6" ht="12.5">
      <c r="B456" s="13"/>
      <c r="C456" s="13"/>
      <c r="D456" s="13"/>
      <c r="E456" s="13"/>
      <c r="F456" s="13"/>
    </row>
    <row r="457" spans="2:6" ht="12.5">
      <c r="B457" s="13"/>
      <c r="C457" s="13"/>
      <c r="D457" s="13"/>
      <c r="E457" s="13"/>
      <c r="F457" s="13"/>
    </row>
    <row r="458" spans="2:6" ht="12.5">
      <c r="B458" s="13"/>
      <c r="C458" s="13"/>
      <c r="D458" s="13"/>
      <c r="E458" s="13"/>
      <c r="F458" s="13"/>
    </row>
    <row r="459" spans="2:6" ht="12.5">
      <c r="B459" s="13"/>
      <c r="C459" s="13"/>
      <c r="D459" s="13"/>
      <c r="E459" s="13"/>
      <c r="F459" s="13"/>
    </row>
    <row r="460" spans="2:6" ht="12.5">
      <c r="B460" s="13"/>
      <c r="C460" s="13"/>
      <c r="D460" s="13"/>
      <c r="E460" s="13"/>
      <c r="F460" s="13"/>
    </row>
    <row r="461" spans="2:6" ht="12.5">
      <c r="B461" s="13"/>
      <c r="C461" s="13"/>
      <c r="D461" s="13"/>
      <c r="E461" s="13"/>
      <c r="F461" s="13"/>
    </row>
    <row r="462" spans="2:6" ht="12.5">
      <c r="B462" s="13"/>
      <c r="C462" s="13"/>
      <c r="D462" s="13"/>
      <c r="E462" s="13"/>
      <c r="F462" s="13"/>
    </row>
    <row r="463" spans="2:6" ht="12.5">
      <c r="B463" s="13"/>
      <c r="C463" s="13"/>
      <c r="D463" s="13"/>
      <c r="E463" s="13"/>
      <c r="F463" s="13"/>
    </row>
    <row r="464" spans="2:6" ht="12.5">
      <c r="B464" s="13"/>
      <c r="C464" s="13"/>
      <c r="D464" s="13"/>
      <c r="E464" s="13"/>
      <c r="F464" s="13"/>
    </row>
    <row r="465" spans="2:6" ht="12.5">
      <c r="B465" s="13"/>
      <c r="C465" s="13"/>
      <c r="D465" s="13"/>
      <c r="E465" s="13"/>
      <c r="F465" s="13"/>
    </row>
    <row r="466" spans="2:6" ht="12.5">
      <c r="B466" s="13"/>
      <c r="C466" s="13"/>
      <c r="D466" s="13"/>
      <c r="E466" s="13"/>
      <c r="F466" s="13"/>
    </row>
    <row r="467" spans="2:6" ht="12.5">
      <c r="B467" s="13"/>
      <c r="C467" s="13"/>
      <c r="D467" s="13"/>
      <c r="E467" s="13"/>
      <c r="F467" s="13"/>
    </row>
    <row r="468" spans="2:6" ht="12.5">
      <c r="B468" s="13"/>
      <c r="C468" s="13"/>
      <c r="D468" s="13"/>
      <c r="E468" s="13"/>
      <c r="F468" s="13"/>
    </row>
    <row r="469" spans="2:6" ht="12.5">
      <c r="B469" s="13"/>
      <c r="C469" s="13"/>
      <c r="D469" s="13"/>
      <c r="E469" s="13"/>
      <c r="F469" s="13"/>
    </row>
    <row r="470" spans="2:6" ht="12.5">
      <c r="B470" s="13"/>
      <c r="C470" s="13"/>
      <c r="D470" s="13"/>
      <c r="E470" s="13"/>
      <c r="F470" s="13"/>
    </row>
    <row r="471" spans="2:6" ht="12.5">
      <c r="B471" s="13"/>
      <c r="C471" s="13"/>
      <c r="D471" s="13"/>
      <c r="E471" s="13"/>
      <c r="F471" s="13"/>
    </row>
    <row r="472" spans="2:6" ht="12.5">
      <c r="B472" s="13"/>
      <c r="C472" s="13"/>
      <c r="D472" s="13"/>
      <c r="E472" s="13"/>
      <c r="F472" s="13"/>
    </row>
    <row r="473" spans="2:6" ht="12.5">
      <c r="B473" s="13"/>
      <c r="C473" s="13"/>
      <c r="D473" s="13"/>
      <c r="E473" s="13"/>
      <c r="F473" s="13"/>
    </row>
    <row r="474" spans="2:6" ht="12.5">
      <c r="B474" s="13"/>
      <c r="C474" s="13"/>
      <c r="D474" s="13"/>
      <c r="E474" s="13"/>
      <c r="F474" s="13"/>
    </row>
    <row r="475" spans="2:6" ht="12.5">
      <c r="B475" s="13"/>
      <c r="C475" s="13"/>
      <c r="D475" s="13"/>
      <c r="E475" s="13"/>
      <c r="F475" s="13"/>
    </row>
    <row r="476" spans="2:6" ht="12.5">
      <c r="B476" s="13"/>
      <c r="C476" s="13"/>
      <c r="D476" s="13"/>
      <c r="E476" s="13"/>
      <c r="F476" s="13"/>
    </row>
    <row r="477" spans="2:6" ht="12.5">
      <c r="B477" s="13"/>
      <c r="C477" s="13"/>
      <c r="D477" s="13"/>
      <c r="E477" s="13"/>
      <c r="F477" s="13"/>
    </row>
    <row r="478" spans="2:6" ht="12.5">
      <c r="B478" s="13"/>
      <c r="C478" s="13"/>
      <c r="D478" s="13"/>
      <c r="E478" s="13"/>
      <c r="F478" s="13"/>
    </row>
    <row r="479" spans="2:6" ht="12.5">
      <c r="B479" s="13"/>
      <c r="C479" s="13"/>
      <c r="D479" s="13"/>
      <c r="E479" s="13"/>
      <c r="F479" s="13"/>
    </row>
    <row r="480" spans="2:6" ht="12.5">
      <c r="B480" s="13"/>
      <c r="C480" s="13"/>
      <c r="D480" s="13"/>
      <c r="E480" s="13"/>
      <c r="F480" s="13"/>
    </row>
    <row r="481" spans="2:6" ht="12.5">
      <c r="B481" s="13"/>
      <c r="C481" s="13"/>
      <c r="D481" s="13"/>
      <c r="E481" s="13"/>
      <c r="F481" s="13"/>
    </row>
    <row r="482" spans="2:6" ht="12.5">
      <c r="B482" s="13"/>
      <c r="C482" s="13"/>
      <c r="D482" s="13"/>
      <c r="E482" s="13"/>
      <c r="F482" s="13"/>
    </row>
    <row r="483" spans="2:6" ht="12.5">
      <c r="B483" s="13"/>
      <c r="C483" s="13"/>
      <c r="D483" s="13"/>
      <c r="E483" s="13"/>
      <c r="F483" s="13"/>
    </row>
    <row r="484" spans="2:6" ht="12.5">
      <c r="B484" s="13"/>
      <c r="C484" s="13"/>
      <c r="D484" s="13"/>
      <c r="E484" s="13"/>
      <c r="F484" s="13"/>
    </row>
    <row r="485" spans="2:6" ht="12.5">
      <c r="B485" s="13"/>
      <c r="C485" s="13"/>
      <c r="D485" s="13"/>
      <c r="E485" s="13"/>
      <c r="F485" s="13"/>
    </row>
    <row r="486" spans="2:6" ht="12.5">
      <c r="B486" s="13"/>
      <c r="C486" s="13"/>
      <c r="D486" s="13"/>
      <c r="E486" s="13"/>
      <c r="F486" s="13"/>
    </row>
    <row r="487" spans="2:6" ht="12.5">
      <c r="B487" s="13"/>
      <c r="C487" s="13"/>
      <c r="D487" s="13"/>
      <c r="E487" s="13"/>
      <c r="F487" s="13"/>
    </row>
    <row r="488" spans="2:6" ht="12.5">
      <c r="B488" s="13"/>
      <c r="C488" s="13"/>
      <c r="D488" s="13"/>
      <c r="E488" s="13"/>
      <c r="F488" s="13"/>
    </row>
    <row r="489" spans="2:6" ht="12.5">
      <c r="B489" s="13"/>
      <c r="C489" s="13"/>
      <c r="D489" s="13"/>
      <c r="E489" s="13"/>
      <c r="F489" s="13"/>
    </row>
    <row r="490" spans="2:6" ht="12.5">
      <c r="B490" s="13"/>
      <c r="C490" s="13"/>
      <c r="D490" s="13"/>
      <c r="E490" s="13"/>
      <c r="F490" s="13"/>
    </row>
    <row r="491" spans="2:6" ht="12.5">
      <c r="B491" s="13"/>
      <c r="C491" s="13"/>
      <c r="D491" s="13"/>
      <c r="E491" s="13"/>
      <c r="F491" s="13"/>
    </row>
    <row r="492" spans="2:6" ht="12.5">
      <c r="B492" s="13"/>
      <c r="C492" s="13"/>
      <c r="D492" s="13"/>
      <c r="E492" s="13"/>
      <c r="F492" s="13"/>
    </row>
    <row r="493" spans="2:6" ht="12.5">
      <c r="B493" s="13"/>
      <c r="C493" s="13"/>
      <c r="D493" s="13"/>
      <c r="E493" s="13"/>
      <c r="F493" s="13"/>
    </row>
    <row r="494" spans="2:6" ht="12.5">
      <c r="B494" s="13"/>
      <c r="C494" s="13"/>
      <c r="D494" s="13"/>
      <c r="E494" s="13"/>
      <c r="F494" s="13"/>
    </row>
    <row r="495" spans="2:6" ht="12.5">
      <c r="B495" s="13"/>
      <c r="C495" s="13"/>
      <c r="D495" s="13"/>
      <c r="E495" s="13"/>
      <c r="F495" s="13"/>
    </row>
    <row r="496" spans="2:6" ht="12.5">
      <c r="B496" s="13"/>
      <c r="C496" s="13"/>
      <c r="D496" s="13"/>
      <c r="E496" s="13"/>
      <c r="F496" s="13"/>
    </row>
    <row r="497" spans="2:6" ht="12.5">
      <c r="B497" s="13"/>
      <c r="C497" s="13"/>
      <c r="D497" s="13"/>
      <c r="E497" s="13"/>
      <c r="F497" s="13"/>
    </row>
    <row r="498" spans="2:6" ht="12.5">
      <c r="B498" s="13"/>
      <c r="C498" s="13"/>
      <c r="D498" s="13"/>
      <c r="E498" s="13"/>
      <c r="F498" s="13"/>
    </row>
    <row r="499" spans="2:6" ht="12.5">
      <c r="B499" s="13"/>
      <c r="C499" s="13"/>
      <c r="D499" s="13"/>
      <c r="E499" s="13"/>
      <c r="F499" s="13"/>
    </row>
    <row r="500" spans="2:6" ht="12.5">
      <c r="B500" s="13"/>
      <c r="C500" s="13"/>
      <c r="D500" s="13"/>
      <c r="E500" s="13"/>
      <c r="F500" s="13"/>
    </row>
    <row r="501" spans="2:6" ht="12.5">
      <c r="B501" s="13"/>
      <c r="C501" s="13"/>
      <c r="D501" s="13"/>
      <c r="E501" s="13"/>
      <c r="F501" s="13"/>
    </row>
    <row r="502" spans="2:6" ht="12.5">
      <c r="B502" s="13"/>
      <c r="C502" s="13"/>
      <c r="D502" s="13"/>
      <c r="E502" s="13"/>
      <c r="F502" s="13"/>
    </row>
    <row r="503" spans="2:6" ht="12.5">
      <c r="B503" s="13"/>
      <c r="C503" s="13"/>
      <c r="D503" s="13"/>
      <c r="E503" s="13"/>
      <c r="F503" s="13"/>
    </row>
    <row r="504" spans="2:6" ht="12.5">
      <c r="B504" s="13"/>
      <c r="C504" s="13"/>
      <c r="D504" s="13"/>
      <c r="E504" s="13"/>
      <c r="F504" s="13"/>
    </row>
    <row r="505" spans="2:6" ht="12.5">
      <c r="B505" s="13"/>
      <c r="C505" s="13"/>
      <c r="D505" s="13"/>
      <c r="E505" s="13"/>
      <c r="F505" s="13"/>
    </row>
    <row r="506" spans="2:6" ht="12.5">
      <c r="B506" s="13"/>
      <c r="C506" s="13"/>
      <c r="D506" s="13"/>
      <c r="E506" s="13"/>
      <c r="F506" s="13"/>
    </row>
    <row r="507" spans="2:6" ht="12.5">
      <c r="B507" s="13"/>
      <c r="C507" s="13"/>
      <c r="D507" s="13"/>
      <c r="E507" s="13"/>
      <c r="F507" s="13"/>
    </row>
    <row r="508" spans="2:6" ht="12.5">
      <c r="B508" s="13"/>
      <c r="C508" s="13"/>
      <c r="D508" s="13"/>
      <c r="E508" s="13"/>
      <c r="F508" s="13"/>
    </row>
    <row r="509" spans="2:6" ht="12.5">
      <c r="B509" s="13"/>
      <c r="C509" s="13"/>
      <c r="D509" s="13"/>
      <c r="E509" s="13"/>
      <c r="F509" s="13"/>
    </row>
    <row r="510" spans="2:6" ht="12.5">
      <c r="B510" s="13"/>
      <c r="C510" s="13"/>
      <c r="D510" s="13"/>
      <c r="E510" s="13"/>
      <c r="F510" s="13"/>
    </row>
    <row r="511" spans="2:6" ht="12.5">
      <c r="B511" s="13"/>
      <c r="C511" s="13"/>
      <c r="D511" s="13"/>
      <c r="E511" s="13"/>
      <c r="F511" s="13"/>
    </row>
    <row r="512" spans="2:6" ht="12.5">
      <c r="B512" s="13"/>
      <c r="C512" s="13"/>
      <c r="D512" s="13"/>
      <c r="E512" s="13"/>
      <c r="F512" s="13"/>
    </row>
    <row r="513" spans="2:6" ht="12.5">
      <c r="B513" s="13"/>
      <c r="C513" s="13"/>
      <c r="D513" s="13"/>
      <c r="E513" s="13"/>
      <c r="F513" s="13"/>
    </row>
    <row r="514" spans="2:6" ht="12.5">
      <c r="B514" s="13"/>
      <c r="C514" s="13"/>
      <c r="D514" s="13"/>
      <c r="E514" s="13"/>
      <c r="F514" s="13"/>
    </row>
    <row r="515" spans="2:6" ht="12.5">
      <c r="B515" s="13"/>
      <c r="C515" s="13"/>
      <c r="D515" s="13"/>
      <c r="E515" s="13"/>
      <c r="F515" s="13"/>
    </row>
    <row r="516" spans="2:6" ht="12.5">
      <c r="B516" s="13"/>
      <c r="C516" s="13"/>
      <c r="D516" s="13"/>
      <c r="E516" s="13"/>
      <c r="F516" s="13"/>
    </row>
    <row r="517" spans="2:6" ht="12.5">
      <c r="B517" s="13"/>
      <c r="C517" s="13"/>
      <c r="D517" s="13"/>
      <c r="E517" s="13"/>
      <c r="F517" s="13"/>
    </row>
    <row r="518" spans="2:6" ht="12.5">
      <c r="B518" s="13"/>
      <c r="C518" s="13"/>
      <c r="D518" s="13"/>
      <c r="E518" s="13"/>
      <c r="F518" s="13"/>
    </row>
    <row r="519" spans="2:6" ht="12.5">
      <c r="B519" s="13"/>
      <c r="C519" s="13"/>
      <c r="D519" s="13"/>
      <c r="E519" s="13"/>
      <c r="F519" s="13"/>
    </row>
    <row r="520" spans="2:6" ht="12.5">
      <c r="B520" s="13"/>
      <c r="C520" s="13"/>
      <c r="D520" s="13"/>
      <c r="E520" s="13"/>
      <c r="F520" s="13"/>
    </row>
    <row r="521" spans="2:6" ht="12.5">
      <c r="B521" s="13"/>
      <c r="C521" s="13"/>
      <c r="D521" s="13"/>
      <c r="E521" s="13"/>
      <c r="F521" s="13"/>
    </row>
    <row r="522" spans="2:6" ht="12.5">
      <c r="B522" s="13"/>
      <c r="C522" s="13"/>
      <c r="D522" s="13"/>
      <c r="E522" s="13"/>
      <c r="F522" s="13"/>
    </row>
    <row r="523" spans="2:6" ht="12.5">
      <c r="B523" s="13"/>
      <c r="C523" s="13"/>
      <c r="D523" s="13"/>
      <c r="E523" s="13"/>
      <c r="F523" s="13"/>
    </row>
    <row r="524" spans="2:6" ht="12.5">
      <c r="B524" s="13"/>
      <c r="C524" s="13"/>
      <c r="D524" s="13"/>
      <c r="E524" s="13"/>
      <c r="F524" s="13"/>
    </row>
    <row r="525" spans="2:6" ht="12.5">
      <c r="B525" s="13"/>
      <c r="C525" s="13"/>
      <c r="D525" s="13"/>
      <c r="E525" s="13"/>
      <c r="F525" s="13"/>
    </row>
    <row r="526" spans="2:6" ht="12.5">
      <c r="B526" s="13"/>
      <c r="C526" s="13"/>
      <c r="D526" s="13"/>
      <c r="E526" s="13"/>
      <c r="F526" s="13"/>
    </row>
    <row r="527" spans="2:6" ht="12.5">
      <c r="B527" s="13"/>
      <c r="C527" s="13"/>
      <c r="D527" s="13"/>
      <c r="E527" s="13"/>
      <c r="F527" s="13"/>
    </row>
    <row r="528" spans="2:6" ht="12.5">
      <c r="B528" s="13"/>
      <c r="C528" s="13"/>
      <c r="D528" s="13"/>
      <c r="E528" s="13"/>
      <c r="F528" s="13"/>
    </row>
    <row r="529" spans="2:6" ht="12.5">
      <c r="B529" s="13"/>
      <c r="C529" s="13"/>
      <c r="D529" s="13"/>
      <c r="E529" s="13"/>
      <c r="F529" s="13"/>
    </row>
    <row r="530" spans="2:6" ht="12.5">
      <c r="B530" s="13"/>
      <c r="C530" s="13"/>
      <c r="D530" s="13"/>
      <c r="E530" s="13"/>
      <c r="F530" s="13"/>
    </row>
    <row r="531" spans="2:6" ht="12.5">
      <c r="B531" s="13"/>
      <c r="C531" s="13"/>
      <c r="D531" s="13"/>
      <c r="E531" s="13"/>
      <c r="F531" s="13"/>
    </row>
    <row r="532" spans="2:6" ht="12.5">
      <c r="B532" s="13"/>
      <c r="C532" s="13"/>
      <c r="D532" s="13"/>
      <c r="E532" s="13"/>
      <c r="F532" s="13"/>
    </row>
    <row r="533" spans="2:6" ht="12.5">
      <c r="B533" s="13"/>
      <c r="C533" s="13"/>
      <c r="D533" s="13"/>
      <c r="E533" s="13"/>
      <c r="F533" s="13"/>
    </row>
    <row r="534" spans="2:6" ht="12.5">
      <c r="B534" s="13"/>
      <c r="C534" s="13"/>
      <c r="D534" s="13"/>
      <c r="E534" s="13"/>
      <c r="F534" s="13"/>
    </row>
    <row r="535" spans="2:6" ht="12.5">
      <c r="B535" s="13"/>
      <c r="C535" s="13"/>
      <c r="D535" s="13"/>
      <c r="E535" s="13"/>
      <c r="F535" s="13"/>
    </row>
    <row r="536" spans="2:6" ht="12.5">
      <c r="B536" s="13"/>
      <c r="C536" s="13"/>
      <c r="D536" s="13"/>
      <c r="E536" s="13"/>
      <c r="F536" s="13"/>
    </row>
    <row r="537" spans="2:6" ht="12.5">
      <c r="B537" s="13"/>
      <c r="C537" s="13"/>
      <c r="D537" s="13"/>
      <c r="E537" s="13"/>
      <c r="F537" s="13"/>
    </row>
    <row r="538" spans="2:6" ht="12.5">
      <c r="B538" s="13"/>
      <c r="C538" s="13"/>
      <c r="D538" s="13"/>
      <c r="E538" s="13"/>
      <c r="F538" s="13"/>
    </row>
    <row r="539" spans="2:6" ht="12.5">
      <c r="B539" s="13"/>
      <c r="C539" s="13"/>
      <c r="D539" s="13"/>
      <c r="E539" s="13"/>
      <c r="F539" s="13"/>
    </row>
    <row r="540" spans="2:6" ht="12.5">
      <c r="B540" s="13"/>
      <c r="C540" s="13"/>
      <c r="D540" s="13"/>
      <c r="E540" s="13"/>
      <c r="F540" s="13"/>
    </row>
    <row r="541" spans="2:6" ht="12.5">
      <c r="B541" s="13"/>
      <c r="C541" s="13"/>
      <c r="D541" s="13"/>
      <c r="E541" s="13"/>
      <c r="F541" s="13"/>
    </row>
    <row r="542" spans="2:6" ht="12.5">
      <c r="B542" s="13"/>
      <c r="C542" s="13"/>
      <c r="D542" s="13"/>
      <c r="E542" s="13"/>
      <c r="F542" s="13"/>
    </row>
    <row r="543" spans="2:6" ht="12.5">
      <c r="B543" s="13"/>
      <c r="C543" s="13"/>
      <c r="D543" s="13"/>
      <c r="E543" s="13"/>
      <c r="F543" s="13"/>
    </row>
    <row r="544" spans="2:6" ht="12.5">
      <c r="B544" s="13"/>
      <c r="C544" s="13"/>
      <c r="D544" s="13"/>
      <c r="E544" s="13"/>
      <c r="F544" s="13"/>
    </row>
    <row r="545" spans="2:6" ht="12.5">
      <c r="B545" s="13"/>
      <c r="C545" s="13"/>
      <c r="D545" s="13"/>
      <c r="E545" s="13"/>
      <c r="F545" s="13"/>
    </row>
    <row r="546" spans="2:6" ht="12.5">
      <c r="B546" s="13"/>
      <c r="C546" s="13"/>
      <c r="D546" s="13"/>
      <c r="E546" s="13"/>
      <c r="F546" s="13"/>
    </row>
    <row r="547" spans="2:6" ht="12.5">
      <c r="B547" s="13"/>
      <c r="C547" s="13"/>
      <c r="D547" s="13"/>
      <c r="E547" s="13"/>
      <c r="F547" s="13"/>
    </row>
    <row r="548" spans="2:6" ht="12.5">
      <c r="B548" s="13"/>
      <c r="C548" s="13"/>
      <c r="D548" s="13"/>
      <c r="E548" s="13"/>
      <c r="F548" s="13"/>
    </row>
    <row r="549" spans="2:6" ht="12.5">
      <c r="B549" s="13"/>
      <c r="C549" s="13"/>
      <c r="D549" s="13"/>
      <c r="E549" s="13"/>
      <c r="F549" s="13"/>
    </row>
    <row r="550" spans="2:6" ht="12.5">
      <c r="B550" s="13"/>
      <c r="C550" s="13"/>
      <c r="D550" s="13"/>
      <c r="E550" s="13"/>
      <c r="F550" s="13"/>
    </row>
    <row r="551" spans="2:6" ht="12.5">
      <c r="B551" s="13"/>
      <c r="C551" s="13"/>
      <c r="D551" s="13"/>
      <c r="E551" s="13"/>
      <c r="F551" s="13"/>
    </row>
    <row r="552" spans="2:6" ht="12.5">
      <c r="B552" s="13"/>
      <c r="C552" s="13"/>
      <c r="D552" s="13"/>
      <c r="E552" s="13"/>
      <c r="F552" s="13"/>
    </row>
    <row r="553" spans="2:6" ht="12.5">
      <c r="B553" s="13"/>
      <c r="C553" s="13"/>
      <c r="D553" s="13"/>
      <c r="E553" s="13"/>
      <c r="F553" s="13"/>
    </row>
    <row r="554" spans="2:6" ht="12.5">
      <c r="B554" s="13"/>
      <c r="C554" s="13"/>
      <c r="D554" s="13"/>
      <c r="E554" s="13"/>
      <c r="F554" s="13"/>
    </row>
    <row r="555" spans="2:6" ht="12.5">
      <c r="B555" s="13"/>
      <c r="C555" s="13"/>
      <c r="D555" s="13"/>
      <c r="E555" s="13"/>
      <c r="F555" s="13"/>
    </row>
    <row r="556" spans="2:6" ht="12.5">
      <c r="B556" s="13"/>
      <c r="C556" s="13"/>
      <c r="D556" s="13"/>
      <c r="E556" s="13"/>
      <c r="F556" s="13"/>
    </row>
    <row r="557" spans="2:6" ht="12.5">
      <c r="B557" s="13"/>
      <c r="C557" s="13"/>
      <c r="D557" s="13"/>
      <c r="E557" s="13"/>
      <c r="F557" s="13"/>
    </row>
    <row r="558" spans="2:6" ht="12.5">
      <c r="B558" s="13"/>
      <c r="C558" s="13"/>
      <c r="D558" s="13"/>
      <c r="E558" s="13"/>
      <c r="F558" s="13"/>
    </row>
    <row r="559" spans="2:6" ht="12.5">
      <c r="B559" s="13"/>
      <c r="C559" s="13"/>
      <c r="D559" s="13"/>
      <c r="E559" s="13"/>
      <c r="F559" s="13"/>
    </row>
    <row r="560" spans="2:6" ht="12.5">
      <c r="B560" s="13"/>
      <c r="C560" s="13"/>
      <c r="D560" s="13"/>
      <c r="E560" s="13"/>
      <c r="F560" s="13"/>
    </row>
    <row r="561" spans="2:6" ht="12.5">
      <c r="B561" s="13"/>
      <c r="C561" s="13"/>
      <c r="D561" s="13"/>
      <c r="E561" s="13"/>
      <c r="F561" s="13"/>
    </row>
    <row r="562" spans="2:6" ht="12.5">
      <c r="B562" s="13"/>
      <c r="C562" s="13"/>
      <c r="D562" s="13"/>
      <c r="E562" s="13"/>
      <c r="F562" s="13"/>
    </row>
    <row r="563" spans="2:6" ht="12.5">
      <c r="B563" s="13"/>
      <c r="C563" s="13"/>
      <c r="D563" s="13"/>
      <c r="E563" s="13"/>
      <c r="F563" s="13"/>
    </row>
    <row r="564" spans="2:6" ht="12.5">
      <c r="B564" s="13"/>
      <c r="C564" s="13"/>
      <c r="D564" s="13"/>
      <c r="E564" s="13"/>
      <c r="F564" s="13"/>
    </row>
    <row r="565" spans="2:6" ht="12.5">
      <c r="B565" s="13"/>
      <c r="C565" s="13"/>
      <c r="D565" s="13"/>
      <c r="E565" s="13"/>
      <c r="F565" s="13"/>
    </row>
    <row r="566" spans="2:6" ht="12.5">
      <c r="B566" s="13"/>
      <c r="C566" s="13"/>
      <c r="D566" s="13"/>
      <c r="E566" s="13"/>
      <c r="F566" s="13"/>
    </row>
    <row r="567" spans="2:6" ht="12.5">
      <c r="B567" s="13"/>
      <c r="C567" s="13"/>
      <c r="D567" s="13"/>
      <c r="E567" s="13"/>
      <c r="F567" s="13"/>
    </row>
    <row r="568" spans="2:6" ht="12.5">
      <c r="B568" s="13"/>
      <c r="C568" s="13"/>
      <c r="D568" s="13"/>
      <c r="E568" s="13"/>
      <c r="F568" s="13"/>
    </row>
    <row r="569" spans="2:6" ht="12.5">
      <c r="B569" s="13"/>
      <c r="C569" s="13"/>
      <c r="D569" s="13"/>
      <c r="E569" s="13"/>
      <c r="F569" s="13"/>
    </row>
    <row r="570" spans="2:6" ht="12.5">
      <c r="B570" s="13"/>
      <c r="C570" s="13"/>
      <c r="D570" s="13"/>
      <c r="E570" s="13"/>
      <c r="F570" s="13"/>
    </row>
    <row r="571" spans="2:6" ht="12.5">
      <c r="B571" s="13"/>
      <c r="C571" s="13"/>
      <c r="D571" s="13"/>
      <c r="E571" s="13"/>
      <c r="F571" s="13"/>
    </row>
    <row r="572" spans="2:6" ht="12.5">
      <c r="B572" s="13"/>
      <c r="C572" s="13"/>
      <c r="D572" s="13"/>
      <c r="E572" s="13"/>
      <c r="F572" s="13"/>
    </row>
    <row r="573" spans="2:6" ht="12.5">
      <c r="B573" s="13"/>
      <c r="C573" s="13"/>
      <c r="D573" s="13"/>
      <c r="E573" s="13"/>
      <c r="F573" s="13"/>
    </row>
    <row r="574" spans="2:6" ht="12.5">
      <c r="B574" s="13"/>
      <c r="C574" s="13"/>
      <c r="D574" s="13"/>
      <c r="E574" s="13"/>
      <c r="F574" s="13"/>
    </row>
    <row r="575" spans="2:6" ht="12.5">
      <c r="B575" s="13"/>
      <c r="C575" s="13"/>
      <c r="D575" s="13"/>
      <c r="E575" s="13"/>
      <c r="F575" s="13"/>
    </row>
    <row r="576" spans="2:6" ht="12.5">
      <c r="B576" s="13"/>
      <c r="C576" s="13"/>
      <c r="D576" s="13"/>
      <c r="E576" s="13"/>
      <c r="F576" s="13"/>
    </row>
    <row r="577" spans="2:6" ht="12.5">
      <c r="B577" s="13"/>
      <c r="C577" s="13"/>
      <c r="D577" s="13"/>
      <c r="E577" s="13"/>
      <c r="F577" s="13"/>
    </row>
    <row r="578" spans="2:6" ht="12.5">
      <c r="B578" s="13"/>
      <c r="C578" s="13"/>
      <c r="D578" s="13"/>
      <c r="E578" s="13"/>
      <c r="F578" s="13"/>
    </row>
    <row r="579" spans="2:6" ht="12.5">
      <c r="B579" s="13"/>
      <c r="C579" s="13"/>
      <c r="D579" s="13"/>
      <c r="E579" s="13"/>
      <c r="F579" s="13"/>
    </row>
    <row r="580" spans="2:6" ht="12.5">
      <c r="B580" s="13"/>
      <c r="C580" s="13"/>
      <c r="D580" s="13"/>
      <c r="E580" s="13"/>
      <c r="F580" s="13"/>
    </row>
    <row r="581" spans="2:6" ht="12.5">
      <c r="B581" s="13"/>
      <c r="C581" s="13"/>
      <c r="D581" s="13"/>
      <c r="E581" s="13"/>
      <c r="F581" s="13"/>
    </row>
    <row r="582" spans="2:6" ht="12.5">
      <c r="B582" s="13"/>
      <c r="C582" s="13"/>
      <c r="D582" s="13"/>
      <c r="E582" s="13"/>
      <c r="F582" s="13"/>
    </row>
    <row r="583" spans="2:6" ht="12.5">
      <c r="B583" s="13"/>
      <c r="C583" s="13"/>
      <c r="D583" s="13"/>
      <c r="E583" s="13"/>
      <c r="F583" s="13"/>
    </row>
    <row r="584" spans="2:6" ht="12.5">
      <c r="B584" s="13"/>
      <c r="C584" s="13"/>
      <c r="D584" s="13"/>
      <c r="E584" s="13"/>
      <c r="F584" s="13"/>
    </row>
    <row r="585" spans="2:6" ht="12.5">
      <c r="B585" s="13"/>
      <c r="C585" s="13"/>
      <c r="D585" s="13"/>
      <c r="E585" s="13"/>
      <c r="F585" s="13"/>
    </row>
    <row r="586" spans="2:6" ht="12.5">
      <c r="B586" s="13"/>
      <c r="C586" s="13"/>
      <c r="D586" s="13"/>
      <c r="E586" s="13"/>
      <c r="F586" s="13"/>
    </row>
    <row r="587" spans="2:6" ht="12.5">
      <c r="B587" s="13"/>
      <c r="C587" s="13"/>
      <c r="D587" s="13"/>
      <c r="E587" s="13"/>
      <c r="F587" s="13"/>
    </row>
    <row r="588" spans="2:6" ht="12.5">
      <c r="B588" s="13"/>
      <c r="C588" s="13"/>
      <c r="D588" s="13"/>
      <c r="E588" s="13"/>
      <c r="F588" s="13"/>
    </row>
    <row r="589" spans="2:6" ht="12.5">
      <c r="B589" s="13"/>
      <c r="C589" s="13"/>
      <c r="D589" s="13"/>
      <c r="E589" s="13"/>
      <c r="F589" s="13"/>
    </row>
    <row r="590" spans="2:6" ht="12.5">
      <c r="B590" s="13"/>
      <c r="C590" s="13"/>
      <c r="D590" s="13"/>
      <c r="E590" s="13"/>
      <c r="F590" s="13"/>
    </row>
    <row r="591" spans="2:6" ht="12.5">
      <c r="B591" s="13"/>
      <c r="C591" s="13"/>
      <c r="D591" s="13"/>
      <c r="E591" s="13"/>
      <c r="F591" s="13"/>
    </row>
    <row r="592" spans="2:6" ht="12.5">
      <c r="B592" s="13"/>
      <c r="C592" s="13"/>
      <c r="D592" s="13"/>
      <c r="E592" s="13"/>
      <c r="F592" s="13"/>
    </row>
    <row r="593" spans="2:6" ht="12.5">
      <c r="B593" s="13"/>
      <c r="C593" s="13"/>
      <c r="D593" s="13"/>
      <c r="E593" s="13"/>
      <c r="F593" s="13"/>
    </row>
    <row r="594" spans="2:6" ht="12.5">
      <c r="B594" s="13"/>
      <c r="C594" s="13"/>
      <c r="D594" s="13"/>
      <c r="E594" s="13"/>
      <c r="F594" s="13"/>
    </row>
    <row r="595" spans="2:6" ht="12.5">
      <c r="B595" s="13"/>
      <c r="C595" s="13"/>
      <c r="D595" s="13"/>
      <c r="E595" s="13"/>
      <c r="F595" s="13"/>
    </row>
    <row r="596" spans="2:6" ht="12.5">
      <c r="B596" s="13"/>
      <c r="C596" s="13"/>
      <c r="D596" s="13"/>
      <c r="E596" s="13"/>
      <c r="F596" s="13"/>
    </row>
    <row r="597" spans="2:6" ht="12.5">
      <c r="B597" s="13"/>
      <c r="C597" s="13"/>
      <c r="D597" s="13"/>
      <c r="E597" s="13"/>
      <c r="F597" s="13"/>
    </row>
    <row r="598" spans="2:6" ht="12.5">
      <c r="B598" s="13"/>
      <c r="C598" s="13"/>
      <c r="D598" s="13"/>
      <c r="E598" s="13"/>
      <c r="F598" s="13"/>
    </row>
    <row r="599" spans="2:6" ht="12.5">
      <c r="B599" s="13"/>
      <c r="C599" s="13"/>
      <c r="D599" s="13"/>
      <c r="E599" s="13"/>
      <c r="F599" s="13"/>
    </row>
    <row r="600" spans="2:6" ht="12.5">
      <c r="B600" s="13"/>
      <c r="C600" s="13"/>
      <c r="D600" s="13"/>
      <c r="E600" s="13"/>
      <c r="F600" s="13"/>
    </row>
    <row r="601" spans="2:6" ht="12.5">
      <c r="B601" s="13"/>
      <c r="C601" s="13"/>
      <c r="D601" s="13"/>
      <c r="E601" s="13"/>
      <c r="F601" s="13"/>
    </row>
    <row r="602" spans="2:6" ht="12.5">
      <c r="B602" s="13"/>
      <c r="C602" s="13"/>
      <c r="D602" s="13"/>
      <c r="E602" s="13"/>
      <c r="F602" s="13"/>
    </row>
    <row r="603" spans="2:6" ht="12.5">
      <c r="B603" s="13"/>
      <c r="C603" s="13"/>
      <c r="D603" s="13"/>
      <c r="E603" s="13"/>
      <c r="F603" s="13"/>
    </row>
    <row r="604" spans="2:6" ht="12.5">
      <c r="B604" s="13"/>
      <c r="C604" s="13"/>
      <c r="D604" s="13"/>
      <c r="E604" s="13"/>
      <c r="F604" s="13"/>
    </row>
    <row r="605" spans="2:6" ht="12.5">
      <c r="B605" s="13"/>
      <c r="C605" s="13"/>
      <c r="D605" s="13"/>
      <c r="E605" s="13"/>
      <c r="F605" s="13"/>
    </row>
    <row r="606" spans="2:6" ht="12.5">
      <c r="B606" s="13"/>
      <c r="C606" s="13"/>
      <c r="D606" s="13"/>
      <c r="E606" s="13"/>
      <c r="F606" s="13"/>
    </row>
    <row r="607" spans="2:6" ht="12.5">
      <c r="B607" s="13"/>
      <c r="C607" s="13"/>
      <c r="D607" s="13"/>
      <c r="E607" s="13"/>
      <c r="F607" s="13"/>
    </row>
    <row r="608" spans="2:6" ht="12.5">
      <c r="B608" s="13"/>
      <c r="C608" s="13"/>
      <c r="D608" s="13"/>
      <c r="E608" s="13"/>
      <c r="F608" s="13"/>
    </row>
    <row r="609" spans="2:6" ht="12.5">
      <c r="B609" s="13"/>
      <c r="C609" s="13"/>
      <c r="D609" s="13"/>
      <c r="E609" s="13"/>
      <c r="F609" s="13"/>
    </row>
    <row r="610" spans="2:6" ht="12.5">
      <c r="B610" s="13"/>
      <c r="C610" s="13"/>
      <c r="D610" s="13"/>
      <c r="E610" s="13"/>
      <c r="F610" s="13"/>
    </row>
    <row r="611" spans="2:6" ht="12.5">
      <c r="B611" s="13"/>
      <c r="C611" s="13"/>
      <c r="D611" s="13"/>
      <c r="E611" s="13"/>
      <c r="F611" s="13"/>
    </row>
    <row r="612" spans="2:6" ht="12.5">
      <c r="B612" s="13"/>
      <c r="C612" s="13"/>
      <c r="D612" s="13"/>
      <c r="E612" s="13"/>
      <c r="F612" s="13"/>
    </row>
    <row r="613" spans="2:6" ht="12.5">
      <c r="B613" s="13"/>
      <c r="C613" s="13"/>
      <c r="D613" s="13"/>
      <c r="E613" s="13"/>
      <c r="F613" s="13"/>
    </row>
    <row r="614" spans="2:6" ht="12.5">
      <c r="B614" s="13"/>
      <c r="C614" s="13"/>
      <c r="D614" s="13"/>
      <c r="E614" s="13"/>
      <c r="F614" s="13"/>
    </row>
    <row r="615" spans="2:6" ht="12.5">
      <c r="B615" s="13"/>
      <c r="C615" s="13"/>
      <c r="D615" s="13"/>
      <c r="E615" s="13"/>
      <c r="F615" s="13"/>
    </row>
    <row r="616" spans="2:6" ht="12.5">
      <c r="B616" s="13"/>
      <c r="C616" s="13"/>
      <c r="D616" s="13"/>
      <c r="E616" s="13"/>
      <c r="F616" s="13"/>
    </row>
    <row r="617" spans="2:6" ht="12.5">
      <c r="B617" s="13"/>
      <c r="C617" s="13"/>
      <c r="D617" s="13"/>
      <c r="E617" s="13"/>
      <c r="F617" s="13"/>
    </row>
    <row r="618" spans="2:6" ht="12.5">
      <c r="B618" s="13"/>
      <c r="C618" s="13"/>
      <c r="D618" s="13"/>
      <c r="E618" s="13"/>
      <c r="F618" s="13"/>
    </row>
    <row r="619" spans="2:6" ht="12.5">
      <c r="B619" s="13"/>
      <c r="C619" s="13"/>
      <c r="D619" s="13"/>
      <c r="E619" s="13"/>
      <c r="F619" s="13"/>
    </row>
    <row r="620" spans="2:6" ht="12.5">
      <c r="B620" s="13"/>
      <c r="C620" s="13"/>
      <c r="D620" s="13"/>
      <c r="E620" s="13"/>
      <c r="F620" s="13"/>
    </row>
    <row r="621" spans="2:6" ht="12.5">
      <c r="B621" s="13"/>
      <c r="C621" s="13"/>
      <c r="D621" s="13"/>
      <c r="E621" s="13"/>
      <c r="F621" s="13"/>
    </row>
    <row r="622" spans="2:6" ht="12.5">
      <c r="B622" s="13"/>
      <c r="C622" s="13"/>
      <c r="D622" s="13"/>
      <c r="E622" s="13"/>
      <c r="F622" s="13"/>
    </row>
    <row r="623" spans="2:6" ht="12.5">
      <c r="B623" s="13"/>
      <c r="C623" s="13"/>
      <c r="D623" s="13"/>
      <c r="E623" s="13"/>
      <c r="F623" s="13"/>
    </row>
    <row r="624" spans="2:6" ht="12.5">
      <c r="B624" s="13"/>
      <c r="C624" s="13"/>
      <c r="D624" s="13"/>
      <c r="E624" s="13"/>
      <c r="F624" s="13"/>
    </row>
    <row r="625" spans="2:6" ht="12.5">
      <c r="B625" s="13"/>
      <c r="C625" s="13"/>
      <c r="D625" s="13"/>
      <c r="E625" s="13"/>
      <c r="F625" s="13"/>
    </row>
    <row r="626" spans="2:6" ht="12.5">
      <c r="B626" s="13"/>
      <c r="C626" s="13"/>
      <c r="D626" s="13"/>
      <c r="E626" s="13"/>
      <c r="F626" s="13"/>
    </row>
    <row r="627" spans="2:6" ht="12.5">
      <c r="B627" s="13"/>
      <c r="C627" s="13"/>
      <c r="D627" s="13"/>
      <c r="E627" s="13"/>
      <c r="F627" s="13"/>
    </row>
    <row r="628" spans="2:6" ht="12.5">
      <c r="B628" s="13"/>
      <c r="C628" s="13"/>
      <c r="D628" s="13"/>
      <c r="E628" s="13"/>
      <c r="F628" s="13"/>
    </row>
    <row r="629" spans="2:6" ht="12.5">
      <c r="B629" s="13"/>
      <c r="C629" s="13"/>
      <c r="D629" s="13"/>
      <c r="E629" s="13"/>
      <c r="F629" s="13"/>
    </row>
    <row r="630" spans="2:6" ht="12.5">
      <c r="B630" s="13"/>
      <c r="C630" s="13"/>
      <c r="D630" s="13"/>
      <c r="E630" s="13"/>
      <c r="F630" s="13"/>
    </row>
    <row r="631" spans="2:6" ht="12.5">
      <c r="B631" s="13"/>
      <c r="C631" s="13"/>
      <c r="D631" s="13"/>
      <c r="E631" s="13"/>
      <c r="F631" s="13"/>
    </row>
    <row r="632" spans="2:6" ht="12.5">
      <c r="B632" s="13"/>
      <c r="C632" s="13"/>
      <c r="D632" s="13"/>
      <c r="E632" s="13"/>
      <c r="F632" s="13"/>
    </row>
    <row r="633" spans="2:6" ht="12.5">
      <c r="B633" s="13"/>
      <c r="C633" s="13"/>
      <c r="D633" s="13"/>
      <c r="E633" s="13"/>
      <c r="F633" s="13"/>
    </row>
    <row r="634" spans="2:6" ht="12.5">
      <c r="B634" s="13"/>
      <c r="C634" s="13"/>
      <c r="D634" s="13"/>
      <c r="E634" s="13"/>
      <c r="F634" s="13"/>
    </row>
    <row r="635" spans="2:6" ht="12.5">
      <c r="B635" s="13"/>
      <c r="C635" s="13"/>
      <c r="D635" s="13"/>
      <c r="E635" s="13"/>
      <c r="F635" s="13"/>
    </row>
    <row r="636" spans="2:6" ht="12.5">
      <c r="B636" s="13"/>
      <c r="C636" s="13"/>
      <c r="D636" s="13"/>
      <c r="E636" s="13"/>
      <c r="F636" s="13"/>
    </row>
    <row r="637" spans="2:6" ht="12.5">
      <c r="B637" s="13"/>
      <c r="C637" s="13"/>
      <c r="D637" s="13"/>
      <c r="E637" s="13"/>
      <c r="F637" s="13"/>
    </row>
    <row r="638" spans="2:6" ht="12.5">
      <c r="B638" s="13"/>
      <c r="C638" s="13"/>
      <c r="D638" s="13"/>
      <c r="E638" s="13"/>
      <c r="F638" s="13"/>
    </row>
    <row r="639" spans="2:6" ht="12.5">
      <c r="B639" s="13"/>
      <c r="C639" s="13"/>
      <c r="D639" s="13"/>
      <c r="E639" s="13"/>
      <c r="F639" s="13"/>
    </row>
    <row r="640" spans="2:6" ht="12.5">
      <c r="B640" s="13"/>
      <c r="C640" s="13"/>
      <c r="D640" s="13"/>
      <c r="E640" s="13"/>
      <c r="F640" s="13"/>
    </row>
    <row r="641" spans="2:6" ht="12.5">
      <c r="B641" s="13"/>
      <c r="C641" s="13"/>
      <c r="D641" s="13"/>
      <c r="E641" s="13"/>
      <c r="F641" s="13"/>
    </row>
    <row r="642" spans="2:6" ht="12.5">
      <c r="B642" s="13"/>
      <c r="C642" s="13"/>
      <c r="D642" s="13"/>
      <c r="E642" s="13"/>
      <c r="F642" s="13"/>
    </row>
    <row r="643" spans="2:6" ht="12.5">
      <c r="B643" s="13"/>
      <c r="C643" s="13"/>
      <c r="D643" s="13"/>
      <c r="E643" s="13"/>
      <c r="F643" s="13"/>
    </row>
    <row r="644" spans="2:6" ht="12.5">
      <c r="B644" s="13"/>
      <c r="C644" s="13"/>
      <c r="D644" s="13"/>
      <c r="E644" s="13"/>
      <c r="F644" s="13"/>
    </row>
    <row r="645" spans="2:6" ht="12.5">
      <c r="B645" s="13"/>
      <c r="C645" s="13"/>
      <c r="D645" s="13"/>
      <c r="E645" s="13"/>
      <c r="F645" s="13"/>
    </row>
    <row r="646" spans="2:6" ht="12.5">
      <c r="B646" s="13"/>
      <c r="C646" s="13"/>
      <c r="D646" s="13"/>
      <c r="E646" s="13"/>
      <c r="F646" s="13"/>
    </row>
    <row r="647" spans="2:6" ht="12.5">
      <c r="B647" s="13"/>
      <c r="C647" s="13"/>
      <c r="D647" s="13"/>
      <c r="E647" s="13"/>
      <c r="F647" s="13"/>
    </row>
    <row r="648" spans="2:6" ht="12.5">
      <c r="B648" s="13"/>
      <c r="C648" s="13"/>
      <c r="D648" s="13"/>
      <c r="E648" s="13"/>
      <c r="F648" s="13"/>
    </row>
    <row r="649" spans="2:6" ht="12.5">
      <c r="B649" s="13"/>
      <c r="C649" s="13"/>
      <c r="D649" s="13"/>
      <c r="E649" s="13"/>
      <c r="F649" s="13"/>
    </row>
    <row r="650" spans="2:6" ht="12.5">
      <c r="B650" s="13"/>
      <c r="C650" s="13"/>
      <c r="D650" s="13"/>
      <c r="E650" s="13"/>
      <c r="F650" s="13"/>
    </row>
    <row r="651" spans="2:6" ht="12.5">
      <c r="B651" s="13"/>
      <c r="C651" s="13"/>
      <c r="D651" s="13"/>
      <c r="E651" s="13"/>
      <c r="F651" s="13"/>
    </row>
    <row r="652" spans="2:6" ht="12.5">
      <c r="B652" s="13"/>
      <c r="C652" s="13"/>
      <c r="D652" s="13"/>
      <c r="E652" s="13"/>
      <c r="F652" s="13"/>
    </row>
    <row r="653" spans="2:6" ht="12.5">
      <c r="B653" s="13"/>
      <c r="C653" s="13"/>
      <c r="D653" s="13"/>
      <c r="E653" s="13"/>
      <c r="F653" s="13"/>
    </row>
    <row r="654" spans="2:6" ht="12.5">
      <c r="B654" s="13"/>
      <c r="C654" s="13"/>
      <c r="D654" s="13"/>
      <c r="E654" s="13"/>
      <c r="F654" s="13"/>
    </row>
    <row r="655" spans="2:6" ht="12.5">
      <c r="B655" s="13"/>
      <c r="C655" s="13"/>
      <c r="D655" s="13"/>
      <c r="E655" s="13"/>
      <c r="F655" s="13"/>
    </row>
    <row r="656" spans="2:6" ht="12.5">
      <c r="B656" s="13"/>
      <c r="C656" s="13"/>
      <c r="D656" s="13"/>
      <c r="E656" s="13"/>
      <c r="F656" s="13"/>
    </row>
    <row r="657" spans="2:6" ht="12.5">
      <c r="B657" s="13"/>
      <c r="C657" s="13"/>
      <c r="D657" s="13"/>
      <c r="E657" s="13"/>
      <c r="F657" s="13"/>
    </row>
    <row r="658" spans="2:6" ht="12.5">
      <c r="B658" s="13"/>
      <c r="C658" s="13"/>
      <c r="D658" s="13"/>
      <c r="E658" s="13"/>
      <c r="F658" s="13"/>
    </row>
    <row r="659" spans="2:6" ht="12.5">
      <c r="B659" s="13"/>
      <c r="C659" s="13"/>
      <c r="D659" s="13"/>
      <c r="E659" s="13"/>
      <c r="F659" s="13"/>
    </row>
    <row r="660" spans="2:6" ht="12.5">
      <c r="B660" s="13"/>
      <c r="C660" s="13"/>
      <c r="D660" s="13"/>
      <c r="E660" s="13"/>
      <c r="F660" s="13"/>
    </row>
    <row r="661" spans="2:6" ht="12.5">
      <c r="B661" s="13"/>
      <c r="C661" s="13"/>
      <c r="D661" s="13"/>
      <c r="E661" s="13"/>
      <c r="F661" s="13"/>
    </row>
    <row r="662" spans="2:6" ht="12.5">
      <c r="B662" s="13"/>
      <c r="C662" s="13"/>
      <c r="D662" s="13"/>
      <c r="E662" s="13"/>
      <c r="F662" s="13"/>
    </row>
    <row r="663" spans="2:6" ht="12.5">
      <c r="B663" s="13"/>
      <c r="C663" s="13"/>
      <c r="D663" s="13"/>
      <c r="E663" s="13"/>
      <c r="F663" s="13"/>
    </row>
    <row r="664" spans="2:6" ht="12.5">
      <c r="B664" s="13"/>
      <c r="C664" s="13"/>
      <c r="D664" s="13"/>
      <c r="E664" s="13"/>
      <c r="F664" s="13"/>
    </row>
    <row r="665" spans="2:6" ht="12.5">
      <c r="B665" s="13"/>
      <c r="C665" s="13"/>
      <c r="D665" s="13"/>
      <c r="E665" s="13"/>
      <c r="F665" s="13"/>
    </row>
    <row r="666" spans="2:6" ht="12.5">
      <c r="B666" s="13"/>
      <c r="C666" s="13"/>
      <c r="D666" s="13"/>
      <c r="E666" s="13"/>
      <c r="F666" s="13"/>
    </row>
    <row r="667" spans="2:6" ht="12.5">
      <c r="B667" s="13"/>
      <c r="C667" s="13"/>
      <c r="D667" s="13"/>
      <c r="E667" s="13"/>
      <c r="F667" s="13"/>
    </row>
    <row r="668" spans="2:6" ht="12.5">
      <c r="B668" s="13"/>
      <c r="C668" s="13"/>
      <c r="D668" s="13"/>
      <c r="E668" s="13"/>
      <c r="F668" s="13"/>
    </row>
    <row r="669" spans="2:6" ht="12.5">
      <c r="B669" s="13"/>
      <c r="C669" s="13"/>
      <c r="D669" s="13"/>
      <c r="E669" s="13"/>
      <c r="F669" s="13"/>
    </row>
    <row r="670" spans="2:6" ht="12.5">
      <c r="B670" s="13"/>
      <c r="C670" s="13"/>
      <c r="D670" s="13"/>
      <c r="E670" s="13"/>
      <c r="F670" s="13"/>
    </row>
    <row r="671" spans="2:6" ht="12.5">
      <c r="B671" s="13"/>
      <c r="C671" s="13"/>
      <c r="D671" s="13"/>
      <c r="E671" s="13"/>
      <c r="F671" s="13"/>
    </row>
    <row r="672" spans="2:6" ht="12.5">
      <c r="B672" s="13"/>
      <c r="C672" s="13"/>
      <c r="D672" s="13"/>
      <c r="E672" s="13"/>
      <c r="F672" s="13"/>
    </row>
    <row r="673" spans="2:6" ht="12.5">
      <c r="B673" s="13"/>
      <c r="C673" s="13"/>
      <c r="D673" s="13"/>
      <c r="E673" s="13"/>
      <c r="F673" s="13"/>
    </row>
    <row r="674" spans="2:6" ht="12.5">
      <c r="B674" s="13"/>
      <c r="C674" s="13"/>
      <c r="D674" s="13"/>
      <c r="E674" s="13"/>
      <c r="F674" s="13"/>
    </row>
    <row r="675" spans="2:6" ht="12.5">
      <c r="B675" s="13"/>
      <c r="C675" s="13"/>
      <c r="D675" s="13"/>
      <c r="E675" s="13"/>
      <c r="F675" s="13"/>
    </row>
    <row r="676" spans="2:6" ht="12.5">
      <c r="B676" s="13"/>
      <c r="C676" s="13"/>
      <c r="D676" s="13"/>
      <c r="E676" s="13"/>
      <c r="F676" s="13"/>
    </row>
    <row r="677" spans="2:6" ht="12.5">
      <c r="B677" s="13"/>
      <c r="C677" s="13"/>
      <c r="D677" s="13"/>
      <c r="E677" s="13"/>
      <c r="F677" s="13"/>
    </row>
    <row r="678" spans="2:6" ht="12.5">
      <c r="B678" s="13"/>
      <c r="C678" s="13"/>
      <c r="D678" s="13"/>
      <c r="E678" s="13"/>
      <c r="F678" s="13"/>
    </row>
    <row r="679" spans="2:6" ht="12.5">
      <c r="B679" s="13"/>
      <c r="C679" s="13"/>
      <c r="D679" s="13"/>
      <c r="E679" s="13"/>
      <c r="F679" s="13"/>
    </row>
    <row r="680" spans="2:6" ht="12.5">
      <c r="B680" s="13"/>
      <c r="C680" s="13"/>
      <c r="D680" s="13"/>
      <c r="E680" s="13"/>
      <c r="F680" s="13"/>
    </row>
    <row r="681" spans="2:6" ht="12.5">
      <c r="B681" s="13"/>
      <c r="C681" s="13"/>
      <c r="D681" s="13"/>
      <c r="E681" s="13"/>
      <c r="F681" s="13"/>
    </row>
    <row r="682" spans="2:6" ht="12.5">
      <c r="B682" s="13"/>
      <c r="C682" s="13"/>
      <c r="D682" s="13"/>
      <c r="E682" s="13"/>
      <c r="F682" s="13"/>
    </row>
    <row r="683" spans="2:6" ht="12.5">
      <c r="B683" s="13"/>
      <c r="C683" s="13"/>
      <c r="D683" s="13"/>
      <c r="E683" s="13"/>
      <c r="F683" s="13"/>
    </row>
    <row r="684" spans="2:6" ht="12.5">
      <c r="B684" s="13"/>
      <c r="C684" s="13"/>
      <c r="D684" s="13"/>
      <c r="E684" s="13"/>
      <c r="F684" s="13"/>
    </row>
    <row r="685" spans="2:6" ht="12.5">
      <c r="B685" s="13"/>
      <c r="C685" s="13"/>
      <c r="D685" s="13"/>
      <c r="E685" s="13"/>
      <c r="F685" s="13"/>
    </row>
    <row r="686" spans="2:6" ht="12.5">
      <c r="B686" s="13"/>
      <c r="C686" s="13"/>
      <c r="D686" s="13"/>
      <c r="E686" s="13"/>
      <c r="F686" s="13"/>
    </row>
    <row r="687" spans="2:6" ht="12.5">
      <c r="B687" s="13"/>
      <c r="C687" s="13"/>
      <c r="D687" s="13"/>
      <c r="E687" s="13"/>
      <c r="F687" s="13"/>
    </row>
    <row r="688" spans="2:6" ht="12.5">
      <c r="B688" s="13"/>
      <c r="C688" s="13"/>
      <c r="D688" s="13"/>
      <c r="E688" s="13"/>
      <c r="F688" s="13"/>
    </row>
    <row r="689" spans="2:6" ht="12.5">
      <c r="B689" s="13"/>
      <c r="C689" s="13"/>
      <c r="D689" s="13"/>
      <c r="E689" s="13"/>
      <c r="F689" s="13"/>
    </row>
    <row r="690" spans="2:6" ht="12.5">
      <c r="B690" s="13"/>
      <c r="C690" s="13"/>
      <c r="D690" s="13"/>
      <c r="E690" s="13"/>
      <c r="F690" s="13"/>
    </row>
    <row r="691" spans="2:6" ht="12.5">
      <c r="B691" s="13"/>
      <c r="C691" s="13"/>
      <c r="D691" s="13"/>
      <c r="E691" s="13"/>
      <c r="F691" s="13"/>
    </row>
    <row r="692" spans="2:6" ht="12.5">
      <c r="B692" s="13"/>
      <c r="C692" s="13"/>
      <c r="D692" s="13"/>
      <c r="E692" s="13"/>
      <c r="F692" s="13"/>
    </row>
    <row r="693" spans="2:6" ht="12.5">
      <c r="B693" s="13"/>
      <c r="C693" s="13"/>
      <c r="D693" s="13"/>
      <c r="E693" s="13"/>
      <c r="F693" s="13"/>
    </row>
    <row r="694" spans="2:6" ht="12.5">
      <c r="B694" s="13"/>
      <c r="C694" s="13"/>
      <c r="D694" s="13"/>
      <c r="E694" s="13"/>
      <c r="F694" s="13"/>
    </row>
    <row r="695" spans="2:6" ht="12.5">
      <c r="B695" s="13"/>
      <c r="C695" s="13"/>
      <c r="D695" s="13"/>
      <c r="E695" s="13"/>
      <c r="F695" s="13"/>
    </row>
    <row r="696" spans="2:6" ht="12.5">
      <c r="B696" s="13"/>
      <c r="C696" s="13"/>
      <c r="D696" s="13"/>
      <c r="E696" s="13"/>
      <c r="F696" s="13"/>
    </row>
    <row r="697" spans="2:6" ht="12.5">
      <c r="B697" s="13"/>
      <c r="C697" s="13"/>
      <c r="D697" s="13"/>
      <c r="E697" s="13"/>
      <c r="F697" s="13"/>
    </row>
    <row r="698" spans="2:6" ht="12.5">
      <c r="B698" s="13"/>
      <c r="C698" s="13"/>
      <c r="D698" s="13"/>
      <c r="E698" s="13"/>
      <c r="F698" s="13"/>
    </row>
    <row r="699" spans="2:6" ht="12.5">
      <c r="B699" s="13"/>
      <c r="C699" s="13"/>
      <c r="D699" s="13"/>
      <c r="E699" s="13"/>
      <c r="F699" s="13"/>
    </row>
    <row r="700" spans="2:6" ht="12.5">
      <c r="B700" s="13"/>
      <c r="C700" s="13"/>
      <c r="D700" s="13"/>
      <c r="E700" s="13"/>
      <c r="F700" s="13"/>
    </row>
    <row r="701" spans="2:6" ht="12.5">
      <c r="B701" s="13"/>
      <c r="C701" s="13"/>
      <c r="D701" s="13"/>
      <c r="E701" s="13"/>
      <c r="F701" s="13"/>
    </row>
    <row r="702" spans="2:6" ht="12.5">
      <c r="B702" s="13"/>
      <c r="C702" s="13"/>
      <c r="D702" s="13"/>
      <c r="E702" s="13"/>
      <c r="F702" s="13"/>
    </row>
    <row r="703" spans="2:6" ht="12.5">
      <c r="B703" s="13"/>
      <c r="C703" s="13"/>
      <c r="D703" s="13"/>
      <c r="E703" s="13"/>
      <c r="F703" s="13"/>
    </row>
    <row r="704" spans="2:6" ht="12.5">
      <c r="B704" s="13"/>
      <c r="C704" s="13"/>
      <c r="D704" s="13"/>
      <c r="E704" s="13"/>
      <c r="F704" s="13"/>
    </row>
    <row r="705" spans="2:6" ht="12.5">
      <c r="B705" s="13"/>
      <c r="C705" s="13"/>
      <c r="D705" s="13"/>
      <c r="E705" s="13"/>
      <c r="F705" s="13"/>
    </row>
    <row r="706" spans="2:6" ht="12.5">
      <c r="B706" s="13"/>
      <c r="C706" s="13"/>
      <c r="D706" s="13"/>
      <c r="E706" s="13"/>
      <c r="F706" s="13"/>
    </row>
    <row r="707" spans="2:6" ht="12.5">
      <c r="B707" s="13"/>
      <c r="C707" s="13"/>
      <c r="D707" s="13"/>
      <c r="E707" s="13"/>
      <c r="F707" s="13"/>
    </row>
    <row r="708" spans="2:6" ht="12.5">
      <c r="B708" s="13"/>
      <c r="C708" s="13"/>
      <c r="D708" s="13"/>
      <c r="E708" s="13"/>
      <c r="F708" s="13"/>
    </row>
    <row r="709" spans="2:6" ht="12.5">
      <c r="B709" s="13"/>
      <c r="C709" s="13"/>
      <c r="D709" s="13"/>
      <c r="E709" s="13"/>
      <c r="F709" s="13"/>
    </row>
    <row r="710" spans="2:6" ht="12.5">
      <c r="B710" s="13"/>
      <c r="C710" s="13"/>
      <c r="D710" s="13"/>
      <c r="E710" s="13"/>
      <c r="F710" s="13"/>
    </row>
    <row r="711" spans="2:6" ht="12.5">
      <c r="B711" s="13"/>
      <c r="C711" s="13"/>
      <c r="D711" s="13"/>
      <c r="E711" s="13"/>
      <c r="F711" s="13"/>
    </row>
    <row r="712" spans="2:6" ht="12.5">
      <c r="B712" s="13"/>
      <c r="C712" s="13"/>
      <c r="D712" s="13"/>
      <c r="E712" s="13"/>
      <c r="F712" s="13"/>
    </row>
    <row r="713" spans="2:6" ht="12.5">
      <c r="B713" s="13"/>
      <c r="C713" s="13"/>
      <c r="D713" s="13"/>
      <c r="E713" s="13"/>
      <c r="F713" s="13"/>
    </row>
    <row r="714" spans="2:6" ht="12.5">
      <c r="B714" s="13"/>
      <c r="C714" s="13"/>
      <c r="D714" s="13"/>
      <c r="E714" s="13"/>
      <c r="F714" s="13"/>
    </row>
    <row r="715" spans="2:6" ht="12.5">
      <c r="B715" s="13"/>
      <c r="C715" s="13"/>
      <c r="D715" s="13"/>
      <c r="E715" s="13"/>
      <c r="F715" s="13"/>
    </row>
    <row r="716" spans="2:6" ht="12.5">
      <c r="B716" s="13"/>
      <c r="C716" s="13"/>
      <c r="D716" s="13"/>
      <c r="E716" s="13"/>
      <c r="F716" s="13"/>
    </row>
    <row r="717" spans="2:6" ht="12.5">
      <c r="B717" s="13"/>
      <c r="C717" s="13"/>
      <c r="D717" s="13"/>
      <c r="E717" s="13"/>
      <c r="F717" s="13"/>
    </row>
    <row r="718" spans="2:6" ht="12.5">
      <c r="B718" s="13"/>
      <c r="C718" s="13"/>
      <c r="D718" s="13"/>
      <c r="E718" s="13"/>
      <c r="F718" s="13"/>
    </row>
    <row r="719" spans="2:6" ht="12.5">
      <c r="B719" s="13"/>
      <c r="C719" s="13"/>
      <c r="D719" s="13"/>
      <c r="E719" s="13"/>
      <c r="F719" s="13"/>
    </row>
    <row r="720" spans="2:6" ht="12.5">
      <c r="B720" s="13"/>
      <c r="C720" s="13"/>
      <c r="D720" s="13"/>
      <c r="E720" s="13"/>
      <c r="F720" s="13"/>
    </row>
    <row r="721" spans="2:6" ht="12.5">
      <c r="B721" s="13"/>
      <c r="C721" s="13"/>
      <c r="D721" s="13"/>
      <c r="E721" s="13"/>
      <c r="F721" s="13"/>
    </row>
    <row r="722" spans="2:6" ht="12.5">
      <c r="B722" s="13"/>
      <c r="C722" s="13"/>
      <c r="D722" s="13"/>
      <c r="E722" s="13"/>
      <c r="F722" s="13"/>
    </row>
    <row r="723" spans="2:6" ht="12.5">
      <c r="B723" s="13"/>
      <c r="C723" s="13"/>
      <c r="D723" s="13"/>
      <c r="E723" s="13"/>
      <c r="F723" s="13"/>
    </row>
    <row r="724" spans="2:6" ht="12.5">
      <c r="B724" s="13"/>
      <c r="C724" s="13"/>
      <c r="D724" s="13"/>
      <c r="E724" s="13"/>
      <c r="F724" s="13"/>
    </row>
    <row r="725" spans="2:6" ht="12.5">
      <c r="B725" s="13"/>
      <c r="C725" s="13"/>
      <c r="D725" s="13"/>
      <c r="E725" s="13"/>
      <c r="F725" s="13"/>
    </row>
    <row r="726" spans="2:6" ht="12.5">
      <c r="B726" s="13"/>
      <c r="C726" s="13"/>
      <c r="D726" s="13"/>
      <c r="E726" s="13"/>
      <c r="F726" s="13"/>
    </row>
    <row r="727" spans="2:6" ht="12.5">
      <c r="B727" s="13"/>
      <c r="C727" s="13"/>
      <c r="D727" s="13"/>
      <c r="E727" s="13"/>
      <c r="F727" s="13"/>
    </row>
    <row r="728" spans="2:6" ht="12.5">
      <c r="B728" s="13"/>
      <c r="C728" s="13"/>
      <c r="D728" s="13"/>
      <c r="E728" s="13"/>
      <c r="F728" s="13"/>
    </row>
    <row r="729" spans="2:6" ht="12.5">
      <c r="B729" s="13"/>
      <c r="C729" s="13"/>
      <c r="D729" s="13"/>
      <c r="E729" s="13"/>
      <c r="F729" s="13"/>
    </row>
    <row r="730" spans="2:6" ht="12.5">
      <c r="B730" s="13"/>
      <c r="C730" s="13"/>
      <c r="D730" s="13"/>
      <c r="E730" s="13"/>
      <c r="F730" s="13"/>
    </row>
    <row r="731" spans="2:6" ht="12.5">
      <c r="B731" s="13"/>
      <c r="C731" s="13"/>
      <c r="D731" s="13"/>
      <c r="E731" s="13"/>
      <c r="F731" s="13"/>
    </row>
    <row r="732" spans="2:6" ht="12.5">
      <c r="B732" s="13"/>
      <c r="C732" s="13"/>
      <c r="D732" s="13"/>
      <c r="E732" s="13"/>
      <c r="F732" s="13"/>
    </row>
    <row r="733" spans="2:6" ht="12.5">
      <c r="B733" s="13"/>
      <c r="C733" s="13"/>
      <c r="D733" s="13"/>
      <c r="E733" s="13"/>
      <c r="F733" s="13"/>
    </row>
    <row r="734" spans="2:6" ht="12.5">
      <c r="B734" s="13"/>
      <c r="C734" s="13"/>
      <c r="D734" s="13"/>
      <c r="E734" s="13"/>
      <c r="F734" s="13"/>
    </row>
    <row r="735" spans="2:6" ht="12.5">
      <c r="B735" s="13"/>
      <c r="C735" s="13"/>
      <c r="D735" s="13"/>
      <c r="E735" s="13"/>
      <c r="F735" s="13"/>
    </row>
    <row r="736" spans="2:6" ht="12.5">
      <c r="B736" s="13"/>
      <c r="C736" s="13"/>
      <c r="D736" s="13"/>
      <c r="E736" s="13"/>
      <c r="F736" s="13"/>
    </row>
    <row r="737" spans="2:6" ht="12.5">
      <c r="B737" s="13"/>
      <c r="C737" s="13"/>
      <c r="D737" s="13"/>
      <c r="E737" s="13"/>
      <c r="F737" s="13"/>
    </row>
    <row r="738" spans="2:6" ht="12.5">
      <c r="B738" s="13"/>
      <c r="C738" s="13"/>
      <c r="D738" s="13"/>
      <c r="E738" s="13"/>
      <c r="F738" s="13"/>
    </row>
    <row r="739" spans="2:6" ht="12.5">
      <c r="B739" s="13"/>
      <c r="C739" s="13"/>
      <c r="D739" s="13"/>
      <c r="E739" s="13"/>
      <c r="F739" s="13"/>
    </row>
    <row r="740" spans="2:6" ht="12.5">
      <c r="B740" s="13"/>
      <c r="C740" s="13"/>
      <c r="D740" s="13"/>
      <c r="E740" s="13"/>
      <c r="F740" s="13"/>
    </row>
    <row r="741" spans="2:6" ht="12.5">
      <c r="B741" s="13"/>
      <c r="C741" s="13"/>
      <c r="D741" s="13"/>
      <c r="E741" s="13"/>
      <c r="F741" s="13"/>
    </row>
    <row r="742" spans="2:6" ht="12.5">
      <c r="B742" s="13"/>
      <c r="C742" s="13"/>
      <c r="D742" s="13"/>
      <c r="E742" s="13"/>
      <c r="F742" s="13"/>
    </row>
    <row r="743" spans="2:6" ht="12.5">
      <c r="B743" s="13"/>
      <c r="C743" s="13"/>
      <c r="D743" s="13"/>
      <c r="E743" s="13"/>
      <c r="F743" s="13"/>
    </row>
    <row r="744" spans="2:6" ht="12.5">
      <c r="B744" s="13"/>
      <c r="C744" s="13"/>
      <c r="D744" s="13"/>
      <c r="E744" s="13"/>
      <c r="F744" s="13"/>
    </row>
    <row r="745" spans="2:6" ht="12.5">
      <c r="B745" s="13"/>
      <c r="C745" s="13"/>
      <c r="D745" s="13"/>
      <c r="E745" s="13"/>
      <c r="F745" s="13"/>
    </row>
    <row r="746" spans="2:6" ht="12.5">
      <c r="B746" s="13"/>
      <c r="C746" s="13"/>
      <c r="D746" s="13"/>
      <c r="E746" s="13"/>
      <c r="F746" s="13"/>
    </row>
    <row r="747" spans="2:6" ht="12.5">
      <c r="B747" s="13"/>
      <c r="C747" s="13"/>
      <c r="D747" s="13"/>
      <c r="E747" s="13"/>
      <c r="F747" s="13"/>
    </row>
    <row r="748" spans="2:6" ht="12.5">
      <c r="B748" s="13"/>
      <c r="C748" s="13"/>
      <c r="D748" s="13"/>
      <c r="E748" s="13"/>
      <c r="F748" s="13"/>
    </row>
    <row r="749" spans="2:6" ht="12.5">
      <c r="B749" s="13"/>
      <c r="C749" s="13"/>
      <c r="D749" s="13"/>
      <c r="E749" s="13"/>
      <c r="F749" s="13"/>
    </row>
    <row r="750" spans="2:6" ht="12.5">
      <c r="B750" s="13"/>
      <c r="C750" s="13"/>
      <c r="D750" s="13"/>
      <c r="E750" s="13"/>
      <c r="F750" s="13"/>
    </row>
    <row r="751" spans="2:6" ht="12.5">
      <c r="B751" s="13"/>
      <c r="C751" s="13"/>
      <c r="D751" s="13"/>
      <c r="E751" s="13"/>
      <c r="F751" s="13"/>
    </row>
    <row r="752" spans="2:6" ht="12.5">
      <c r="B752" s="13"/>
      <c r="C752" s="13"/>
      <c r="D752" s="13"/>
      <c r="E752" s="13"/>
      <c r="F752" s="13"/>
    </row>
    <row r="753" spans="2:6" ht="12.5">
      <c r="B753" s="13"/>
      <c r="C753" s="13"/>
      <c r="D753" s="13"/>
      <c r="E753" s="13"/>
      <c r="F753" s="13"/>
    </row>
    <row r="754" spans="2:6" ht="12.5">
      <c r="B754" s="13"/>
      <c r="C754" s="13"/>
      <c r="D754" s="13"/>
      <c r="E754" s="13"/>
      <c r="F754" s="13"/>
    </row>
    <row r="755" spans="2:6" ht="12.5">
      <c r="B755" s="13"/>
      <c r="C755" s="13"/>
      <c r="D755" s="13"/>
      <c r="E755" s="13"/>
      <c r="F755" s="13"/>
    </row>
    <row r="756" spans="2:6" ht="12.5">
      <c r="B756" s="13"/>
      <c r="C756" s="13"/>
      <c r="D756" s="13"/>
      <c r="E756" s="13"/>
      <c r="F756" s="13"/>
    </row>
    <row r="757" spans="2:6" ht="12.5">
      <c r="B757" s="13"/>
      <c r="C757" s="13"/>
      <c r="D757" s="13"/>
      <c r="E757" s="13"/>
      <c r="F757" s="13"/>
    </row>
    <row r="758" spans="2:6" ht="12.5">
      <c r="B758" s="13"/>
      <c r="C758" s="13"/>
      <c r="D758" s="13"/>
      <c r="E758" s="13"/>
      <c r="F758" s="13"/>
    </row>
    <row r="759" spans="2:6" ht="12.5">
      <c r="B759" s="13"/>
      <c r="C759" s="13"/>
      <c r="D759" s="13"/>
      <c r="E759" s="13"/>
      <c r="F759" s="13"/>
    </row>
    <row r="760" spans="2:6" ht="12.5">
      <c r="B760" s="13"/>
      <c r="C760" s="13"/>
      <c r="D760" s="13"/>
      <c r="E760" s="13"/>
      <c r="F760" s="13"/>
    </row>
    <row r="761" spans="2:6" ht="12.5">
      <c r="B761" s="13"/>
      <c r="C761" s="13"/>
      <c r="D761" s="13"/>
      <c r="E761" s="13"/>
      <c r="F761" s="13"/>
    </row>
    <row r="762" spans="2:6" ht="12.5">
      <c r="B762" s="13"/>
      <c r="C762" s="13"/>
      <c r="D762" s="13"/>
      <c r="E762" s="13"/>
      <c r="F762" s="13"/>
    </row>
    <row r="763" spans="2:6" ht="12.5">
      <c r="B763" s="13"/>
      <c r="C763" s="13"/>
      <c r="D763" s="13"/>
      <c r="E763" s="13"/>
      <c r="F763" s="13"/>
    </row>
    <row r="764" spans="2:6" ht="12.5">
      <c r="B764" s="13"/>
      <c r="C764" s="13"/>
      <c r="D764" s="13"/>
      <c r="E764" s="13"/>
      <c r="F764" s="13"/>
    </row>
    <row r="765" spans="2:6" ht="12.5">
      <c r="B765" s="13"/>
      <c r="C765" s="13"/>
      <c r="D765" s="13"/>
      <c r="E765" s="13"/>
      <c r="F765" s="13"/>
    </row>
    <row r="766" spans="2:6" ht="12.5">
      <c r="B766" s="13"/>
      <c r="C766" s="13"/>
      <c r="D766" s="13"/>
      <c r="E766" s="13"/>
      <c r="F766" s="13"/>
    </row>
    <row r="767" spans="2:6" ht="12.5">
      <c r="B767" s="13"/>
      <c r="C767" s="13"/>
      <c r="D767" s="13"/>
      <c r="E767" s="13"/>
      <c r="F767" s="13"/>
    </row>
    <row r="768" spans="2:6" ht="12.5">
      <c r="B768" s="13"/>
      <c r="C768" s="13"/>
      <c r="D768" s="13"/>
      <c r="E768" s="13"/>
      <c r="F768" s="13"/>
    </row>
    <row r="769" spans="2:6" ht="12.5">
      <c r="B769" s="13"/>
      <c r="C769" s="13"/>
      <c r="D769" s="13"/>
      <c r="E769" s="13"/>
      <c r="F769" s="13"/>
    </row>
    <row r="770" spans="2:6" ht="12.5">
      <c r="B770" s="13"/>
      <c r="C770" s="13"/>
      <c r="D770" s="13"/>
      <c r="E770" s="13"/>
      <c r="F770" s="13"/>
    </row>
    <row r="771" spans="2:6" ht="12.5">
      <c r="B771" s="13"/>
      <c r="C771" s="13"/>
      <c r="D771" s="13"/>
      <c r="E771" s="13"/>
      <c r="F771" s="13"/>
    </row>
    <row r="772" spans="2:6" ht="12.5">
      <c r="B772" s="13"/>
      <c r="C772" s="13"/>
      <c r="D772" s="13"/>
      <c r="E772" s="13"/>
      <c r="F772" s="13"/>
    </row>
    <row r="773" spans="2:6" ht="12.5">
      <c r="B773" s="13"/>
      <c r="C773" s="13"/>
      <c r="D773" s="13"/>
      <c r="E773" s="13"/>
      <c r="F773" s="13"/>
    </row>
    <row r="774" spans="2:6" ht="12.5">
      <c r="B774" s="13"/>
      <c r="C774" s="13"/>
      <c r="D774" s="13"/>
      <c r="E774" s="13"/>
      <c r="F774" s="13"/>
    </row>
    <row r="775" spans="2:6" ht="12.5">
      <c r="B775" s="13"/>
      <c r="C775" s="13"/>
      <c r="D775" s="13"/>
      <c r="E775" s="13"/>
      <c r="F775" s="13"/>
    </row>
    <row r="776" spans="2:6" ht="12.5">
      <c r="B776" s="13"/>
      <c r="C776" s="13"/>
      <c r="D776" s="13"/>
      <c r="E776" s="13"/>
      <c r="F776" s="13"/>
    </row>
    <row r="777" spans="2:6" ht="12.5">
      <c r="B777" s="13"/>
      <c r="C777" s="13"/>
      <c r="D777" s="13"/>
      <c r="E777" s="13"/>
      <c r="F777" s="13"/>
    </row>
    <row r="778" spans="2:6" ht="12.5">
      <c r="B778" s="13"/>
      <c r="C778" s="13"/>
      <c r="D778" s="13"/>
      <c r="E778" s="13"/>
      <c r="F778" s="13"/>
    </row>
    <row r="779" spans="2:6" ht="12.5">
      <c r="B779" s="13"/>
      <c r="C779" s="13"/>
      <c r="D779" s="13"/>
      <c r="E779" s="13"/>
      <c r="F779" s="13"/>
    </row>
    <row r="780" spans="2:6" ht="12.5">
      <c r="B780" s="13"/>
      <c r="C780" s="13"/>
      <c r="D780" s="13"/>
      <c r="E780" s="13"/>
      <c r="F780" s="13"/>
    </row>
    <row r="781" spans="2:6" ht="12.5">
      <c r="B781" s="13"/>
      <c r="C781" s="13"/>
      <c r="D781" s="13"/>
      <c r="E781" s="13"/>
      <c r="F781" s="13"/>
    </row>
    <row r="782" spans="2:6" ht="12.5">
      <c r="B782" s="13"/>
      <c r="C782" s="13"/>
      <c r="D782" s="13"/>
      <c r="E782" s="13"/>
      <c r="F782" s="13"/>
    </row>
    <row r="783" spans="2:6" ht="12.5">
      <c r="B783" s="13"/>
      <c r="C783" s="13"/>
      <c r="D783" s="13"/>
      <c r="E783" s="13"/>
      <c r="F783" s="13"/>
    </row>
    <row r="784" spans="2:6" ht="12.5">
      <c r="B784" s="13"/>
      <c r="C784" s="13"/>
      <c r="D784" s="13"/>
      <c r="E784" s="13"/>
      <c r="F784" s="13"/>
    </row>
    <row r="785" spans="2:6" ht="12.5">
      <c r="B785" s="13"/>
      <c r="C785" s="13"/>
      <c r="D785" s="13"/>
      <c r="E785" s="13"/>
      <c r="F785" s="13"/>
    </row>
    <row r="786" spans="2:6" ht="12.5">
      <c r="B786" s="13"/>
      <c r="C786" s="13"/>
      <c r="D786" s="13"/>
      <c r="E786" s="13"/>
      <c r="F786" s="13"/>
    </row>
    <row r="787" spans="2:6" ht="12.5">
      <c r="B787" s="13"/>
      <c r="C787" s="13"/>
      <c r="D787" s="13"/>
      <c r="E787" s="13"/>
      <c r="F787" s="13"/>
    </row>
    <row r="788" spans="2:6" ht="12.5">
      <c r="B788" s="13"/>
      <c r="C788" s="13"/>
      <c r="D788" s="13"/>
      <c r="E788" s="13"/>
      <c r="F788" s="13"/>
    </row>
    <row r="789" spans="2:6" ht="12.5">
      <c r="B789" s="13"/>
      <c r="C789" s="13"/>
      <c r="D789" s="13"/>
      <c r="E789" s="13"/>
      <c r="F789" s="13"/>
    </row>
    <row r="790" spans="2:6" ht="12.5">
      <c r="B790" s="13"/>
      <c r="C790" s="13"/>
      <c r="D790" s="13"/>
      <c r="E790" s="13"/>
      <c r="F790" s="13"/>
    </row>
    <row r="791" spans="2:6" ht="12.5">
      <c r="B791" s="13"/>
      <c r="C791" s="13"/>
      <c r="D791" s="13"/>
      <c r="E791" s="13"/>
      <c r="F791" s="13"/>
    </row>
    <row r="792" spans="2:6" ht="12.5">
      <c r="B792" s="13"/>
      <c r="C792" s="13"/>
      <c r="D792" s="13"/>
      <c r="E792" s="13"/>
      <c r="F792" s="13"/>
    </row>
    <row r="793" spans="2:6" ht="12.5">
      <c r="B793" s="13"/>
      <c r="C793" s="13"/>
      <c r="D793" s="13"/>
      <c r="E793" s="13"/>
      <c r="F793" s="13"/>
    </row>
    <row r="794" spans="2:6" ht="12.5">
      <c r="B794" s="13"/>
      <c r="C794" s="13"/>
      <c r="D794" s="13"/>
      <c r="E794" s="13"/>
      <c r="F794" s="13"/>
    </row>
    <row r="795" spans="2:6" ht="12.5">
      <c r="B795" s="13"/>
      <c r="C795" s="13"/>
      <c r="D795" s="13"/>
      <c r="E795" s="13"/>
      <c r="F795" s="13"/>
    </row>
    <row r="796" spans="2:6" ht="12.5">
      <c r="B796" s="13"/>
      <c r="C796" s="13"/>
      <c r="D796" s="13"/>
      <c r="E796" s="13"/>
      <c r="F796" s="13"/>
    </row>
    <row r="797" spans="2:6" ht="12.5">
      <c r="B797" s="13"/>
      <c r="C797" s="13"/>
      <c r="D797" s="13"/>
      <c r="E797" s="13"/>
      <c r="F797" s="13"/>
    </row>
    <row r="798" spans="2:6" ht="12.5">
      <c r="B798" s="13"/>
      <c r="C798" s="13"/>
      <c r="D798" s="13"/>
      <c r="E798" s="13"/>
      <c r="F798" s="13"/>
    </row>
    <row r="799" spans="2:6" ht="12.5">
      <c r="B799" s="13"/>
      <c r="C799" s="13"/>
      <c r="D799" s="13"/>
      <c r="E799" s="13"/>
      <c r="F799" s="13"/>
    </row>
    <row r="800" spans="2:6" ht="12.5">
      <c r="B800" s="13"/>
      <c r="C800" s="13"/>
      <c r="D800" s="13"/>
      <c r="E800" s="13"/>
      <c r="F800" s="13"/>
    </row>
    <row r="801" spans="2:6" ht="12.5">
      <c r="B801" s="13"/>
      <c r="C801" s="13"/>
      <c r="D801" s="13"/>
      <c r="E801" s="13"/>
      <c r="F801" s="13"/>
    </row>
    <row r="802" spans="2:6" ht="12.5">
      <c r="B802" s="13"/>
      <c r="C802" s="13"/>
      <c r="D802" s="13"/>
      <c r="E802" s="13"/>
      <c r="F802" s="13"/>
    </row>
    <row r="803" spans="2:6" ht="12.5">
      <c r="B803" s="13"/>
      <c r="C803" s="13"/>
      <c r="D803" s="13"/>
      <c r="E803" s="13"/>
      <c r="F803" s="13"/>
    </row>
    <row r="804" spans="2:6" ht="12.5">
      <c r="B804" s="13"/>
      <c r="C804" s="13"/>
      <c r="D804" s="13"/>
      <c r="E804" s="13"/>
      <c r="F804" s="13"/>
    </row>
    <row r="805" spans="2:6" ht="12.5">
      <c r="B805" s="13"/>
      <c r="C805" s="13"/>
      <c r="D805" s="13"/>
      <c r="E805" s="13"/>
      <c r="F805" s="13"/>
    </row>
    <row r="806" spans="2:6" ht="12.5">
      <c r="B806" s="13"/>
      <c r="C806" s="13"/>
      <c r="D806" s="13"/>
      <c r="E806" s="13"/>
      <c r="F806" s="13"/>
    </row>
    <row r="807" spans="2:6" ht="12.5">
      <c r="B807" s="13"/>
      <c r="C807" s="13"/>
      <c r="D807" s="13"/>
      <c r="E807" s="13"/>
      <c r="F807" s="13"/>
    </row>
    <row r="808" spans="2:6" ht="12.5">
      <c r="B808" s="13"/>
      <c r="C808" s="13"/>
      <c r="D808" s="13"/>
      <c r="E808" s="13"/>
      <c r="F808" s="13"/>
    </row>
    <row r="809" spans="2:6" ht="12.5">
      <c r="B809" s="13"/>
      <c r="C809" s="13"/>
      <c r="D809" s="13"/>
      <c r="E809" s="13"/>
      <c r="F809" s="13"/>
    </row>
    <row r="810" spans="2:6" ht="12.5">
      <c r="B810" s="13"/>
      <c r="C810" s="13"/>
      <c r="D810" s="13"/>
      <c r="E810" s="13"/>
      <c r="F810" s="13"/>
    </row>
    <row r="811" spans="2:6" ht="12.5">
      <c r="B811" s="13"/>
      <c r="C811" s="13"/>
      <c r="D811" s="13"/>
      <c r="E811" s="13"/>
      <c r="F811" s="13"/>
    </row>
    <row r="812" spans="2:6" ht="12.5">
      <c r="B812" s="13"/>
      <c r="C812" s="13"/>
      <c r="D812" s="13"/>
      <c r="E812" s="13"/>
      <c r="F812" s="13"/>
    </row>
    <row r="813" spans="2:6" ht="12.5">
      <c r="B813" s="13"/>
      <c r="C813" s="13"/>
      <c r="D813" s="13"/>
      <c r="E813" s="13"/>
      <c r="F813" s="13"/>
    </row>
    <row r="814" spans="2:6" ht="12.5">
      <c r="B814" s="13"/>
      <c r="C814" s="13"/>
      <c r="D814" s="13"/>
      <c r="E814" s="13"/>
      <c r="F814" s="13"/>
    </row>
    <row r="815" spans="2:6" ht="12.5">
      <c r="B815" s="13"/>
      <c r="C815" s="13"/>
      <c r="D815" s="13"/>
      <c r="E815" s="13"/>
      <c r="F815" s="13"/>
    </row>
    <row r="816" spans="2:6" ht="12.5">
      <c r="B816" s="13"/>
      <c r="C816" s="13"/>
      <c r="D816" s="13"/>
      <c r="E816" s="13"/>
      <c r="F816" s="13"/>
    </row>
    <row r="817" spans="2:6" ht="12.5">
      <c r="B817" s="13"/>
      <c r="C817" s="13"/>
      <c r="D817" s="13"/>
      <c r="E817" s="13"/>
      <c r="F817" s="13"/>
    </row>
    <row r="818" spans="2:6" ht="12.5">
      <c r="B818" s="13"/>
      <c r="C818" s="13"/>
      <c r="D818" s="13"/>
      <c r="E818" s="13"/>
      <c r="F818" s="13"/>
    </row>
    <row r="819" spans="2:6" ht="12.5">
      <c r="B819" s="13"/>
      <c r="C819" s="13"/>
      <c r="D819" s="13"/>
      <c r="E819" s="13"/>
      <c r="F819" s="13"/>
    </row>
    <row r="820" spans="2:6" ht="12.5">
      <c r="B820" s="13"/>
      <c r="C820" s="13"/>
      <c r="D820" s="13"/>
      <c r="E820" s="13"/>
      <c r="F820" s="13"/>
    </row>
    <row r="821" spans="2:6" ht="12.5">
      <c r="B821" s="13"/>
      <c r="C821" s="13"/>
      <c r="D821" s="13"/>
      <c r="E821" s="13"/>
      <c r="F821" s="13"/>
    </row>
    <row r="822" spans="2:6" ht="12.5">
      <c r="B822" s="13"/>
      <c r="C822" s="13"/>
      <c r="D822" s="13"/>
      <c r="E822" s="13"/>
      <c r="F822" s="13"/>
    </row>
    <row r="823" spans="2:6" ht="12.5">
      <c r="B823" s="13"/>
      <c r="C823" s="13"/>
      <c r="D823" s="13"/>
      <c r="E823" s="13"/>
      <c r="F823" s="13"/>
    </row>
    <row r="824" spans="2:6" ht="12.5">
      <c r="B824" s="13"/>
      <c r="C824" s="13"/>
      <c r="D824" s="13"/>
      <c r="E824" s="13"/>
      <c r="F824" s="13"/>
    </row>
    <row r="825" spans="2:6" ht="12.5">
      <c r="B825" s="13"/>
      <c r="C825" s="13"/>
      <c r="D825" s="13"/>
      <c r="E825" s="13"/>
      <c r="F825" s="13"/>
    </row>
    <row r="826" spans="2:6" ht="12.5">
      <c r="B826" s="13"/>
      <c r="C826" s="13"/>
      <c r="D826" s="13"/>
      <c r="E826" s="13"/>
      <c r="F826" s="13"/>
    </row>
    <row r="827" spans="2:6" ht="12.5">
      <c r="B827" s="13"/>
      <c r="C827" s="13"/>
      <c r="D827" s="13"/>
      <c r="E827" s="13"/>
      <c r="F827" s="13"/>
    </row>
    <row r="828" spans="2:6" ht="12.5">
      <c r="B828" s="13"/>
      <c r="C828" s="13"/>
      <c r="D828" s="13"/>
      <c r="E828" s="13"/>
      <c r="F828" s="13"/>
    </row>
    <row r="829" spans="2:6" ht="12.5">
      <c r="B829" s="13"/>
      <c r="C829" s="13"/>
      <c r="D829" s="13"/>
      <c r="E829" s="13"/>
      <c r="F829" s="13"/>
    </row>
    <row r="830" spans="2:6" ht="12.5">
      <c r="B830" s="13"/>
      <c r="C830" s="13"/>
      <c r="D830" s="13"/>
      <c r="E830" s="13"/>
      <c r="F830" s="13"/>
    </row>
    <row r="831" spans="2:6" ht="12.5">
      <c r="B831" s="13"/>
      <c r="C831" s="13"/>
      <c r="D831" s="13"/>
      <c r="E831" s="13"/>
      <c r="F831" s="13"/>
    </row>
    <row r="832" spans="2:6" ht="12.5">
      <c r="B832" s="13"/>
      <c r="C832" s="13"/>
      <c r="D832" s="13"/>
      <c r="E832" s="13"/>
      <c r="F832" s="13"/>
    </row>
    <row r="833" spans="2:6" ht="12.5">
      <c r="B833" s="13"/>
      <c r="C833" s="13"/>
      <c r="D833" s="13"/>
      <c r="E833" s="13"/>
      <c r="F833" s="13"/>
    </row>
    <row r="834" spans="2:6" ht="12.5">
      <c r="B834" s="13"/>
      <c r="C834" s="13"/>
      <c r="D834" s="13"/>
      <c r="E834" s="13"/>
      <c r="F834" s="13"/>
    </row>
    <row r="835" spans="2:6" ht="12.5">
      <c r="B835" s="13"/>
      <c r="C835" s="13"/>
      <c r="D835" s="13"/>
      <c r="E835" s="13"/>
      <c r="F835" s="13"/>
    </row>
    <row r="836" spans="2:6" ht="12.5">
      <c r="B836" s="13"/>
      <c r="C836" s="13"/>
      <c r="D836" s="13"/>
      <c r="E836" s="13"/>
      <c r="F836" s="13"/>
    </row>
    <row r="837" spans="2:6" ht="12.5">
      <c r="B837" s="13"/>
      <c r="C837" s="13"/>
      <c r="D837" s="13"/>
      <c r="E837" s="13"/>
      <c r="F837" s="13"/>
    </row>
    <row r="838" spans="2:6" ht="12.5">
      <c r="B838" s="13"/>
      <c r="C838" s="13"/>
      <c r="D838" s="13"/>
      <c r="E838" s="13"/>
      <c r="F838" s="13"/>
    </row>
    <row r="839" spans="2:6" ht="12.5">
      <c r="B839" s="13"/>
      <c r="C839" s="13"/>
      <c r="D839" s="13"/>
      <c r="E839" s="13"/>
      <c r="F839" s="13"/>
    </row>
    <row r="840" spans="2:6" ht="12.5">
      <c r="B840" s="13"/>
      <c r="C840" s="13"/>
      <c r="D840" s="13"/>
      <c r="E840" s="13"/>
      <c r="F840" s="13"/>
    </row>
    <row r="841" spans="2:6" ht="12.5">
      <c r="B841" s="13"/>
      <c r="C841" s="13"/>
      <c r="D841" s="13"/>
      <c r="E841" s="13"/>
      <c r="F841" s="13"/>
    </row>
    <row r="842" spans="2:6" ht="12.5">
      <c r="B842" s="13"/>
      <c r="C842" s="13"/>
      <c r="D842" s="13"/>
      <c r="E842" s="13"/>
      <c r="F842" s="13"/>
    </row>
    <row r="843" spans="2:6" ht="12.5">
      <c r="B843" s="13"/>
      <c r="C843" s="13"/>
      <c r="D843" s="13"/>
      <c r="E843" s="13"/>
      <c r="F843" s="13"/>
    </row>
    <row r="844" spans="2:6" ht="12.5">
      <c r="B844" s="13"/>
      <c r="C844" s="13"/>
      <c r="D844" s="13"/>
      <c r="E844" s="13"/>
      <c r="F844" s="13"/>
    </row>
    <row r="845" spans="2:6" ht="12.5">
      <c r="B845" s="13"/>
      <c r="C845" s="13"/>
      <c r="D845" s="13"/>
      <c r="E845" s="13"/>
      <c r="F845" s="13"/>
    </row>
    <row r="846" spans="2:6" ht="12.5">
      <c r="B846" s="13"/>
      <c r="C846" s="13"/>
      <c r="D846" s="13"/>
      <c r="E846" s="13"/>
      <c r="F846" s="13"/>
    </row>
    <row r="847" spans="2:6" ht="12.5">
      <c r="B847" s="13"/>
      <c r="C847" s="13"/>
      <c r="D847" s="13"/>
      <c r="E847" s="13"/>
      <c r="F847" s="13"/>
    </row>
    <row r="848" spans="2:6" ht="12.5">
      <c r="B848" s="13"/>
      <c r="C848" s="13"/>
      <c r="D848" s="13"/>
      <c r="E848" s="13"/>
      <c r="F848" s="13"/>
    </row>
    <row r="849" spans="2:6" ht="12.5">
      <c r="B849" s="13"/>
      <c r="C849" s="13"/>
      <c r="D849" s="13"/>
      <c r="E849" s="13"/>
      <c r="F849" s="13"/>
    </row>
    <row r="850" spans="2:6" ht="12.5">
      <c r="B850" s="13"/>
      <c r="C850" s="13"/>
      <c r="D850" s="13"/>
      <c r="E850" s="13"/>
      <c r="F850" s="13"/>
    </row>
    <row r="851" spans="2:6" ht="12.5">
      <c r="B851" s="13"/>
      <c r="C851" s="13"/>
      <c r="D851" s="13"/>
      <c r="E851" s="13"/>
      <c r="F851" s="13"/>
    </row>
    <row r="852" spans="2:6" ht="12.5">
      <c r="B852" s="13"/>
      <c r="C852" s="13"/>
      <c r="D852" s="13"/>
      <c r="E852" s="13"/>
      <c r="F852" s="13"/>
    </row>
    <row r="853" spans="2:6" ht="12.5">
      <c r="B853" s="13"/>
      <c r="C853" s="13"/>
      <c r="D853" s="13"/>
      <c r="E853" s="13"/>
      <c r="F853" s="13"/>
    </row>
    <row r="854" spans="2:6" ht="12.5">
      <c r="B854" s="13"/>
      <c r="C854" s="13"/>
      <c r="D854" s="13"/>
      <c r="E854" s="13"/>
      <c r="F854" s="13"/>
    </row>
    <row r="855" spans="2:6" ht="12.5">
      <c r="B855" s="13"/>
      <c r="C855" s="13"/>
      <c r="D855" s="13"/>
      <c r="E855" s="13"/>
      <c r="F855" s="13"/>
    </row>
    <row r="856" spans="2:6" ht="12.5">
      <c r="B856" s="13"/>
      <c r="C856" s="13"/>
      <c r="D856" s="13"/>
      <c r="E856" s="13"/>
      <c r="F856" s="13"/>
    </row>
    <row r="857" spans="2:6" ht="12.5">
      <c r="B857" s="13"/>
      <c r="C857" s="13"/>
      <c r="D857" s="13"/>
      <c r="E857" s="13"/>
      <c r="F857" s="13"/>
    </row>
    <row r="858" spans="2:6" ht="12.5">
      <c r="B858" s="13"/>
      <c r="C858" s="13"/>
      <c r="D858" s="13"/>
      <c r="E858" s="13"/>
      <c r="F858" s="13"/>
    </row>
    <row r="859" spans="2:6" ht="12.5">
      <c r="B859" s="13"/>
      <c r="C859" s="13"/>
      <c r="D859" s="13"/>
      <c r="E859" s="13"/>
      <c r="F859" s="13"/>
    </row>
    <row r="860" spans="2:6" ht="12.5">
      <c r="B860" s="13"/>
      <c r="C860" s="13"/>
      <c r="D860" s="13"/>
      <c r="E860" s="13"/>
      <c r="F860" s="13"/>
    </row>
    <row r="861" spans="2:6" ht="12.5">
      <c r="B861" s="13"/>
      <c r="C861" s="13"/>
      <c r="D861" s="13"/>
      <c r="E861" s="13"/>
      <c r="F861" s="13"/>
    </row>
    <row r="862" spans="2:6" ht="12.5">
      <c r="B862" s="13"/>
      <c r="C862" s="13"/>
      <c r="D862" s="13"/>
      <c r="E862" s="13"/>
      <c r="F862" s="13"/>
    </row>
    <row r="863" spans="2:6" ht="12.5">
      <c r="B863" s="13"/>
      <c r="C863" s="13"/>
      <c r="D863" s="13"/>
      <c r="E863" s="13"/>
      <c r="F863" s="13"/>
    </row>
    <row r="864" spans="2:6" ht="12.5">
      <c r="B864" s="13"/>
      <c r="C864" s="13"/>
      <c r="D864" s="13"/>
      <c r="E864" s="13"/>
      <c r="F864" s="13"/>
    </row>
    <row r="865" spans="2:6" ht="12.5">
      <c r="B865" s="13"/>
      <c r="C865" s="13"/>
      <c r="D865" s="13"/>
      <c r="E865" s="13"/>
      <c r="F865" s="13"/>
    </row>
    <row r="866" spans="2:6" ht="12.5">
      <c r="B866" s="13"/>
      <c r="C866" s="13"/>
      <c r="D866" s="13"/>
      <c r="E866" s="13"/>
      <c r="F866" s="13"/>
    </row>
    <row r="867" spans="2:6" ht="12.5">
      <c r="B867" s="13"/>
      <c r="C867" s="13"/>
      <c r="D867" s="13"/>
      <c r="E867" s="13"/>
      <c r="F867" s="13"/>
    </row>
    <row r="868" spans="2:6" ht="12.5">
      <c r="B868" s="13"/>
      <c r="C868" s="13"/>
      <c r="D868" s="13"/>
      <c r="E868" s="13"/>
      <c r="F868" s="13"/>
    </row>
    <row r="869" spans="2:6" ht="12.5">
      <c r="B869" s="13"/>
      <c r="C869" s="13"/>
      <c r="D869" s="13"/>
      <c r="E869" s="13"/>
      <c r="F869" s="13"/>
    </row>
    <row r="870" spans="2:6" ht="12.5">
      <c r="B870" s="13"/>
      <c r="C870" s="13"/>
      <c r="D870" s="13"/>
      <c r="E870" s="13"/>
      <c r="F870" s="13"/>
    </row>
    <row r="871" spans="2:6" ht="12.5">
      <c r="B871" s="13"/>
      <c r="C871" s="13"/>
      <c r="D871" s="13"/>
      <c r="E871" s="13"/>
      <c r="F871" s="13"/>
    </row>
    <row r="872" spans="2:6" ht="12.5">
      <c r="B872" s="13"/>
      <c r="C872" s="13"/>
      <c r="D872" s="13"/>
      <c r="E872" s="13"/>
      <c r="F872" s="13"/>
    </row>
    <row r="873" spans="2:6" ht="12.5">
      <c r="B873" s="13"/>
      <c r="C873" s="13"/>
      <c r="D873" s="13"/>
      <c r="E873" s="13"/>
      <c r="F873" s="13"/>
    </row>
    <row r="874" spans="2:6" ht="12.5">
      <c r="B874" s="13"/>
      <c r="C874" s="13"/>
      <c r="D874" s="13"/>
      <c r="E874" s="13"/>
      <c r="F874" s="13"/>
    </row>
    <row r="875" spans="2:6" ht="12.5">
      <c r="B875" s="13"/>
      <c r="C875" s="13"/>
      <c r="D875" s="13"/>
      <c r="E875" s="13"/>
      <c r="F875" s="13"/>
    </row>
    <row r="876" spans="2:6" ht="12.5">
      <c r="B876" s="13"/>
      <c r="C876" s="13"/>
      <c r="D876" s="13"/>
      <c r="E876" s="13"/>
      <c r="F876" s="13"/>
    </row>
    <row r="877" spans="2:6" ht="12.5">
      <c r="B877" s="13"/>
      <c r="C877" s="13"/>
      <c r="D877" s="13"/>
      <c r="E877" s="13"/>
      <c r="F877" s="13"/>
    </row>
    <row r="878" spans="2:6" ht="12.5">
      <c r="B878" s="13"/>
      <c r="C878" s="13"/>
      <c r="D878" s="13"/>
      <c r="E878" s="13"/>
      <c r="F878" s="13"/>
    </row>
    <row r="879" spans="2:6" ht="12.5">
      <c r="B879" s="13"/>
      <c r="C879" s="13"/>
      <c r="D879" s="13"/>
      <c r="E879" s="13"/>
      <c r="F879" s="13"/>
    </row>
    <row r="880" spans="2:6" ht="12.5">
      <c r="B880" s="13"/>
      <c r="C880" s="13"/>
      <c r="D880" s="13"/>
      <c r="E880" s="13"/>
      <c r="F880" s="13"/>
    </row>
    <row r="881" spans="2:6" ht="12.5">
      <c r="B881" s="13"/>
      <c r="C881" s="13"/>
      <c r="D881" s="13"/>
      <c r="E881" s="13"/>
      <c r="F881" s="13"/>
    </row>
    <row r="882" spans="2:6" ht="12.5">
      <c r="B882" s="13"/>
      <c r="C882" s="13"/>
      <c r="D882" s="13"/>
      <c r="E882" s="13"/>
      <c r="F882" s="13"/>
    </row>
    <row r="883" spans="2:6" ht="12.5">
      <c r="B883" s="13"/>
      <c r="C883" s="13"/>
      <c r="D883" s="13"/>
      <c r="E883" s="13"/>
      <c r="F883" s="13"/>
    </row>
    <row r="884" spans="2:6" ht="12.5">
      <c r="B884" s="13"/>
      <c r="C884" s="13"/>
      <c r="D884" s="13"/>
      <c r="E884" s="13"/>
      <c r="F884" s="13"/>
    </row>
    <row r="885" spans="2:6" ht="12.5">
      <c r="B885" s="13"/>
      <c r="C885" s="13"/>
      <c r="D885" s="13"/>
      <c r="E885" s="13"/>
      <c r="F885" s="13"/>
    </row>
    <row r="886" spans="2:6" ht="12.5">
      <c r="B886" s="13"/>
      <c r="C886" s="13"/>
      <c r="D886" s="13"/>
      <c r="E886" s="13"/>
      <c r="F886" s="13"/>
    </row>
    <row r="887" spans="2:6" ht="12.5">
      <c r="B887" s="13"/>
      <c r="C887" s="13"/>
      <c r="D887" s="13"/>
      <c r="E887" s="13"/>
      <c r="F887" s="13"/>
    </row>
    <row r="888" spans="2:6" ht="12.5">
      <c r="B888" s="13"/>
      <c r="C888" s="13"/>
      <c r="D888" s="13"/>
      <c r="E888" s="13"/>
      <c r="F888" s="13"/>
    </row>
    <row r="889" spans="2:6" ht="12.5">
      <c r="B889" s="13"/>
      <c r="C889" s="13"/>
      <c r="D889" s="13"/>
      <c r="E889" s="13"/>
      <c r="F889" s="13"/>
    </row>
    <row r="890" spans="2:6" ht="12.5">
      <c r="B890" s="13"/>
      <c r="C890" s="13"/>
      <c r="D890" s="13"/>
      <c r="E890" s="13"/>
      <c r="F890" s="13"/>
    </row>
    <row r="891" spans="2:6" ht="12.5">
      <c r="B891" s="13"/>
      <c r="C891" s="13"/>
      <c r="D891" s="13"/>
      <c r="E891" s="13"/>
      <c r="F891" s="13"/>
    </row>
    <row r="892" spans="2:6" ht="12.5">
      <c r="B892" s="13"/>
      <c r="C892" s="13"/>
      <c r="D892" s="13"/>
      <c r="E892" s="13"/>
      <c r="F892" s="13"/>
    </row>
    <row r="893" spans="2:6" ht="12.5">
      <c r="B893" s="13"/>
      <c r="C893" s="13"/>
      <c r="D893" s="13"/>
      <c r="E893" s="13"/>
      <c r="F893" s="13"/>
    </row>
    <row r="894" spans="2:6" ht="12.5">
      <c r="B894" s="13"/>
      <c r="C894" s="13"/>
      <c r="D894" s="13"/>
      <c r="E894" s="13"/>
      <c r="F894" s="13"/>
    </row>
    <row r="895" spans="2:6" ht="12.5">
      <c r="B895" s="13"/>
      <c r="C895" s="13"/>
      <c r="D895" s="13"/>
      <c r="E895" s="13"/>
      <c r="F895" s="13"/>
    </row>
    <row r="896" spans="2:6" ht="12.5">
      <c r="B896" s="13"/>
      <c r="C896" s="13"/>
      <c r="D896" s="13"/>
      <c r="E896" s="13"/>
      <c r="F896" s="13"/>
    </row>
    <row r="897" spans="2:6" ht="12.5">
      <c r="B897" s="13"/>
      <c r="C897" s="13"/>
      <c r="D897" s="13"/>
      <c r="E897" s="13"/>
      <c r="F897" s="13"/>
    </row>
    <row r="898" spans="2:6" ht="12.5">
      <c r="B898" s="13"/>
      <c r="C898" s="13"/>
      <c r="D898" s="13"/>
      <c r="E898" s="13"/>
      <c r="F898" s="13"/>
    </row>
    <row r="899" spans="2:6" ht="12.5">
      <c r="B899" s="13"/>
      <c r="C899" s="13"/>
      <c r="D899" s="13"/>
      <c r="E899" s="13"/>
      <c r="F899" s="13"/>
    </row>
    <row r="900" spans="2:6" ht="12.5">
      <c r="B900" s="13"/>
      <c r="C900" s="13"/>
      <c r="D900" s="13"/>
      <c r="E900" s="13"/>
      <c r="F900" s="13"/>
    </row>
    <row r="901" spans="2:6" ht="12.5">
      <c r="B901" s="13"/>
      <c r="C901" s="13"/>
      <c r="D901" s="13"/>
      <c r="E901" s="13"/>
      <c r="F901" s="13"/>
    </row>
    <row r="902" spans="2:6" ht="12.5">
      <c r="B902" s="13"/>
      <c r="C902" s="13"/>
      <c r="D902" s="13"/>
      <c r="E902" s="13"/>
      <c r="F902" s="13"/>
    </row>
    <row r="903" spans="2:6" ht="12.5">
      <c r="B903" s="13"/>
      <c r="C903" s="13"/>
      <c r="D903" s="13"/>
      <c r="E903" s="13"/>
      <c r="F903" s="13"/>
    </row>
    <row r="904" spans="2:6" ht="12.5">
      <c r="B904" s="13"/>
      <c r="C904" s="13"/>
      <c r="D904" s="13"/>
      <c r="E904" s="13"/>
      <c r="F904" s="13"/>
    </row>
    <row r="905" spans="2:6" ht="12.5">
      <c r="B905" s="13"/>
      <c r="C905" s="13"/>
      <c r="D905" s="13"/>
      <c r="E905" s="13"/>
      <c r="F905" s="13"/>
    </row>
    <row r="906" spans="2:6" ht="12.5">
      <c r="B906" s="13"/>
      <c r="C906" s="13"/>
      <c r="D906" s="13"/>
      <c r="E906" s="13"/>
      <c r="F906" s="13"/>
    </row>
    <row r="907" spans="2:6" ht="12.5">
      <c r="B907" s="13"/>
      <c r="C907" s="13"/>
      <c r="D907" s="13"/>
      <c r="E907" s="13"/>
      <c r="F907" s="13"/>
    </row>
    <row r="908" spans="2:6" ht="12.5">
      <c r="B908" s="13"/>
      <c r="C908" s="13"/>
      <c r="D908" s="13"/>
      <c r="E908" s="13"/>
      <c r="F908" s="13"/>
    </row>
    <row r="909" spans="2:6" ht="12.5">
      <c r="B909" s="13"/>
      <c r="C909" s="13"/>
      <c r="D909" s="13"/>
      <c r="E909" s="13"/>
      <c r="F909" s="13"/>
    </row>
    <row r="910" spans="2:6" ht="12.5">
      <c r="B910" s="13"/>
      <c r="C910" s="13"/>
      <c r="D910" s="13"/>
      <c r="E910" s="13"/>
      <c r="F910" s="13"/>
    </row>
    <row r="911" spans="2:6" ht="12.5">
      <c r="B911" s="13"/>
      <c r="C911" s="13"/>
      <c r="D911" s="13"/>
      <c r="E911" s="13"/>
      <c r="F911" s="13"/>
    </row>
    <row r="912" spans="2:6" ht="12.5">
      <c r="B912" s="13"/>
      <c r="C912" s="13"/>
      <c r="D912" s="13"/>
      <c r="E912" s="13"/>
      <c r="F912" s="13"/>
    </row>
    <row r="913" spans="2:6" ht="12.5">
      <c r="B913" s="13"/>
      <c r="C913" s="13"/>
      <c r="D913" s="13"/>
      <c r="E913" s="13"/>
      <c r="F913" s="13"/>
    </row>
    <row r="914" spans="2:6" ht="12.5">
      <c r="B914" s="13"/>
      <c r="C914" s="13"/>
      <c r="D914" s="13"/>
      <c r="E914" s="13"/>
      <c r="F914" s="13"/>
    </row>
    <row r="915" spans="2:6" ht="12.5">
      <c r="B915" s="13"/>
      <c r="C915" s="13"/>
      <c r="D915" s="13"/>
      <c r="E915" s="13"/>
      <c r="F915" s="13"/>
    </row>
    <row r="916" spans="2:6" ht="12.5">
      <c r="B916" s="13"/>
      <c r="C916" s="13"/>
      <c r="D916" s="13"/>
      <c r="E916" s="13"/>
      <c r="F916" s="13"/>
    </row>
    <row r="917" spans="2:6" ht="12.5">
      <c r="B917" s="13"/>
      <c r="C917" s="13"/>
      <c r="D917" s="13"/>
      <c r="E917" s="13"/>
      <c r="F917" s="13"/>
    </row>
    <row r="918" spans="2:6" ht="12.5">
      <c r="B918" s="13"/>
      <c r="C918" s="13"/>
      <c r="D918" s="13"/>
      <c r="E918" s="13"/>
      <c r="F918" s="13"/>
    </row>
    <row r="919" spans="2:6" ht="12.5">
      <c r="B919" s="13"/>
      <c r="C919" s="13"/>
      <c r="D919" s="13"/>
      <c r="E919" s="13"/>
      <c r="F919" s="13"/>
    </row>
    <row r="920" spans="2:6" ht="12.5">
      <c r="B920" s="13"/>
      <c r="C920" s="13"/>
      <c r="D920" s="13"/>
      <c r="E920" s="13"/>
      <c r="F920" s="13"/>
    </row>
    <row r="921" spans="2:6" ht="12.5">
      <c r="B921" s="13"/>
      <c r="C921" s="13"/>
      <c r="D921" s="13"/>
      <c r="E921" s="13"/>
      <c r="F921" s="13"/>
    </row>
    <row r="922" spans="2:6" ht="12.5">
      <c r="B922" s="13"/>
      <c r="C922" s="13"/>
      <c r="D922" s="13"/>
      <c r="E922" s="13"/>
      <c r="F922" s="13"/>
    </row>
    <row r="923" spans="2:6" ht="12.5">
      <c r="B923" s="13"/>
      <c r="C923" s="13"/>
      <c r="D923" s="13"/>
      <c r="E923" s="13"/>
      <c r="F923" s="13"/>
    </row>
    <row r="924" spans="2:6" ht="12.5">
      <c r="B924" s="13"/>
      <c r="C924" s="13"/>
      <c r="D924" s="13"/>
      <c r="E924" s="13"/>
      <c r="F924" s="13"/>
    </row>
    <row r="925" spans="2:6" ht="12.5">
      <c r="B925" s="13"/>
      <c r="C925" s="13"/>
      <c r="D925" s="13"/>
      <c r="E925" s="13"/>
      <c r="F925" s="13"/>
    </row>
    <row r="926" spans="2:6" ht="12.5">
      <c r="B926" s="13"/>
      <c r="C926" s="13"/>
      <c r="D926" s="13"/>
      <c r="E926" s="13"/>
      <c r="F926" s="13"/>
    </row>
    <row r="927" spans="2:6" ht="12.5">
      <c r="B927" s="13"/>
      <c r="C927" s="13"/>
      <c r="D927" s="13"/>
      <c r="E927" s="13"/>
      <c r="F927" s="13"/>
    </row>
    <row r="928" spans="2:6" ht="12.5">
      <c r="B928" s="13"/>
      <c r="C928" s="13"/>
      <c r="D928" s="13"/>
      <c r="E928" s="13"/>
      <c r="F928" s="13"/>
    </row>
    <row r="929" spans="2:6" ht="12.5">
      <c r="B929" s="13"/>
      <c r="C929" s="13"/>
      <c r="D929" s="13"/>
      <c r="E929" s="13"/>
      <c r="F929" s="13"/>
    </row>
    <row r="930" spans="2:6" ht="12.5">
      <c r="B930" s="13"/>
      <c r="C930" s="13"/>
      <c r="D930" s="13"/>
      <c r="E930" s="13"/>
      <c r="F930" s="13"/>
    </row>
    <row r="931" spans="2:6" ht="12.5">
      <c r="B931" s="13"/>
      <c r="C931" s="13"/>
      <c r="D931" s="13"/>
      <c r="E931" s="13"/>
      <c r="F931" s="13"/>
    </row>
    <row r="932" spans="2:6" ht="12.5">
      <c r="B932" s="13"/>
      <c r="C932" s="13"/>
      <c r="D932" s="13"/>
      <c r="E932" s="13"/>
      <c r="F932" s="13"/>
    </row>
    <row r="933" spans="2:6" ht="12.5">
      <c r="B933" s="13"/>
      <c r="C933" s="13"/>
      <c r="D933" s="13"/>
      <c r="E933" s="13"/>
      <c r="F933" s="13"/>
    </row>
    <row r="934" spans="2:6" ht="12.5">
      <c r="B934" s="13"/>
      <c r="C934" s="13"/>
      <c r="D934" s="13"/>
      <c r="E934" s="13"/>
      <c r="F934" s="13"/>
    </row>
    <row r="935" spans="2:6" ht="12.5">
      <c r="B935" s="13"/>
      <c r="C935" s="13"/>
      <c r="D935" s="13"/>
      <c r="E935" s="13"/>
      <c r="F935" s="13"/>
    </row>
    <row r="936" spans="2:6" ht="12.5">
      <c r="B936" s="13"/>
      <c r="C936" s="13"/>
      <c r="D936" s="13"/>
      <c r="E936" s="13"/>
      <c r="F936" s="13"/>
    </row>
    <row r="937" spans="2:6" ht="12.5">
      <c r="B937" s="13"/>
      <c r="C937" s="13"/>
      <c r="D937" s="13"/>
      <c r="E937" s="13"/>
      <c r="F937" s="13"/>
    </row>
    <row r="938" spans="2:6" ht="12.5">
      <c r="B938" s="13"/>
      <c r="C938" s="13"/>
      <c r="D938" s="13"/>
      <c r="E938" s="13"/>
      <c r="F938" s="13"/>
    </row>
    <row r="939" spans="2:6" ht="12.5">
      <c r="B939" s="13"/>
      <c r="C939" s="13"/>
      <c r="D939" s="13"/>
      <c r="E939" s="13"/>
      <c r="F939" s="13"/>
    </row>
    <row r="940" spans="2:6" ht="12.5">
      <c r="B940" s="13"/>
      <c r="C940" s="13"/>
      <c r="D940" s="13"/>
      <c r="E940" s="13"/>
      <c r="F940" s="13"/>
    </row>
    <row r="941" spans="2:6" ht="12.5">
      <c r="B941" s="13"/>
      <c r="C941" s="13"/>
      <c r="D941" s="13"/>
      <c r="E941" s="13"/>
      <c r="F941" s="13"/>
    </row>
    <row r="942" spans="2:6" ht="12.5">
      <c r="B942" s="13"/>
      <c r="C942" s="13"/>
      <c r="D942" s="13"/>
      <c r="E942" s="13"/>
      <c r="F942" s="13"/>
    </row>
    <row r="943" spans="2:6" ht="12.5">
      <c r="B943" s="13"/>
      <c r="C943" s="13"/>
      <c r="D943" s="13"/>
      <c r="E943" s="13"/>
      <c r="F943" s="13"/>
    </row>
    <row r="944" spans="2:6" ht="12.5">
      <c r="B944" s="13"/>
      <c r="C944" s="13"/>
      <c r="D944" s="13"/>
      <c r="E944" s="13"/>
      <c r="F944" s="13"/>
    </row>
    <row r="945" spans="2:6" ht="12.5">
      <c r="B945" s="13"/>
      <c r="C945" s="13"/>
      <c r="D945" s="13"/>
      <c r="E945" s="13"/>
      <c r="F945" s="13"/>
    </row>
    <row r="946" spans="2:6" ht="12.5">
      <c r="B946" s="13"/>
      <c r="C946" s="13"/>
      <c r="D946" s="13"/>
      <c r="E946" s="13"/>
      <c r="F946" s="13"/>
    </row>
    <row r="947" spans="2:6" ht="12.5">
      <c r="B947" s="13"/>
      <c r="C947" s="13"/>
      <c r="D947" s="13"/>
      <c r="E947" s="13"/>
      <c r="F947" s="13"/>
    </row>
    <row r="948" spans="2:6" ht="12.5">
      <c r="B948" s="13"/>
      <c r="C948" s="13"/>
      <c r="D948" s="13"/>
      <c r="E948" s="13"/>
      <c r="F948" s="13"/>
    </row>
    <row r="949" spans="2:6" ht="12.5">
      <c r="B949" s="13"/>
      <c r="C949" s="13"/>
      <c r="D949" s="13"/>
      <c r="E949" s="13"/>
      <c r="F949" s="13"/>
    </row>
    <row r="950" spans="2:6" ht="12.5">
      <c r="B950" s="13"/>
      <c r="C950" s="13"/>
      <c r="D950" s="13"/>
      <c r="E950" s="13"/>
      <c r="F950" s="13"/>
    </row>
    <row r="951" spans="2:6" ht="12.5">
      <c r="B951" s="13"/>
      <c r="C951" s="13"/>
      <c r="D951" s="13"/>
      <c r="E951" s="13"/>
      <c r="F951" s="13"/>
    </row>
    <row r="952" spans="2:6" ht="12.5">
      <c r="B952" s="13"/>
      <c r="C952" s="13"/>
      <c r="D952" s="13"/>
      <c r="E952" s="13"/>
      <c r="F952" s="13"/>
    </row>
    <row r="953" spans="2:6" ht="12.5">
      <c r="B953" s="13"/>
      <c r="C953" s="13"/>
      <c r="D953" s="13"/>
      <c r="E953" s="13"/>
      <c r="F953" s="13"/>
    </row>
    <row r="954" spans="2:6" ht="12.5">
      <c r="B954" s="13"/>
      <c r="C954" s="13"/>
      <c r="D954" s="13"/>
      <c r="E954" s="13"/>
      <c r="F954" s="13"/>
    </row>
    <row r="955" spans="2:6" ht="12.5">
      <c r="B955" s="13"/>
      <c r="C955" s="13"/>
      <c r="D955" s="13"/>
      <c r="E955" s="13"/>
      <c r="F955" s="13"/>
    </row>
    <row r="956" spans="2:6" ht="12.5">
      <c r="B956" s="13"/>
      <c r="C956" s="13"/>
      <c r="D956" s="13"/>
      <c r="E956" s="13"/>
      <c r="F956" s="13"/>
    </row>
    <row r="957" spans="2:6" ht="12.5">
      <c r="B957" s="13"/>
      <c r="C957" s="13"/>
      <c r="D957" s="13"/>
      <c r="E957" s="13"/>
      <c r="F957" s="13"/>
    </row>
    <row r="958" spans="2:6" ht="12.5">
      <c r="B958" s="13"/>
      <c r="C958" s="13"/>
      <c r="D958" s="13"/>
      <c r="E958" s="13"/>
      <c r="F958" s="13"/>
    </row>
    <row r="959" spans="2:6" ht="12.5">
      <c r="B959" s="13"/>
      <c r="C959" s="13"/>
      <c r="D959" s="13"/>
      <c r="E959" s="13"/>
      <c r="F959" s="13"/>
    </row>
    <row r="960" spans="2:6" ht="12.5">
      <c r="B960" s="13"/>
      <c r="C960" s="13"/>
      <c r="D960" s="13"/>
      <c r="E960" s="13"/>
      <c r="F960" s="13"/>
    </row>
    <row r="961" spans="2:6" ht="12.5">
      <c r="B961" s="13"/>
      <c r="C961" s="13"/>
      <c r="D961" s="13"/>
      <c r="E961" s="13"/>
      <c r="F961" s="13"/>
    </row>
    <row r="962" spans="2:6" ht="12.5">
      <c r="B962" s="13"/>
      <c r="C962" s="13"/>
      <c r="D962" s="13"/>
      <c r="E962" s="13"/>
      <c r="F962" s="13"/>
    </row>
    <row r="963" spans="2:6" ht="12.5">
      <c r="B963" s="13"/>
      <c r="C963" s="13"/>
      <c r="D963" s="13"/>
      <c r="E963" s="13"/>
      <c r="F963" s="13"/>
    </row>
    <row r="964" spans="2:6" ht="12.5">
      <c r="B964" s="13"/>
      <c r="C964" s="13"/>
      <c r="D964" s="13"/>
      <c r="E964" s="13"/>
      <c r="F964" s="13"/>
    </row>
    <row r="965" spans="2:6" ht="12.5">
      <c r="B965" s="13"/>
      <c r="C965" s="13"/>
      <c r="D965" s="13"/>
      <c r="E965" s="13"/>
      <c r="F965" s="13"/>
    </row>
    <row r="966" spans="2:6" ht="12.5">
      <c r="B966" s="13"/>
      <c r="C966" s="13"/>
      <c r="D966" s="13"/>
      <c r="E966" s="13"/>
      <c r="F966" s="13"/>
    </row>
    <row r="967" spans="2:6" ht="12.5">
      <c r="B967" s="13"/>
      <c r="C967" s="13"/>
      <c r="D967" s="13"/>
      <c r="E967" s="13"/>
      <c r="F967" s="13"/>
    </row>
    <row r="968" spans="2:6" ht="12.5">
      <c r="B968" s="13"/>
      <c r="C968" s="13"/>
      <c r="D968" s="13"/>
      <c r="E968" s="13"/>
      <c r="F968" s="13"/>
    </row>
  </sheetData>
  <mergeCells count="1">
    <mergeCell ref="A1:C1"/>
  </mergeCells>
  <hyperlinks>
    <hyperlink ref="I15" r:id="rId1"/>
    <hyperlink ref="I16" r:id="rId2"/>
    <hyperlink ref="I17" r:id="rId3"/>
    <hyperlink ref="H21" r:id="rId4"/>
    <hyperlink ref="H22" r:id="rId5"/>
    <hyperlink ref="H24" r:id="rId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K1044"/>
  <sheetViews>
    <sheetView showGridLines="0" zoomScale="64" workbookViewId="0">
      <pane xSplit="3" topLeftCell="F1" activePane="topRight" state="frozen"/>
      <selection pane="topRight" activeCell="I81" sqref="I81"/>
    </sheetView>
  </sheetViews>
  <sheetFormatPr defaultColWidth="14.453125" defaultRowHeight="15.75" customHeight="1"/>
  <cols>
    <col min="1" max="1" width="26.6328125" customWidth="1"/>
    <col min="2" max="2" width="32.453125" customWidth="1"/>
    <col min="3" max="3" width="47.54296875" customWidth="1"/>
    <col min="4" max="4" width="7.08984375" customWidth="1"/>
    <col min="5" max="5" width="8.54296875" customWidth="1"/>
    <col min="6" max="6" width="14.54296875" customWidth="1"/>
    <col min="7" max="7" width="13.08984375" customWidth="1"/>
    <col min="8" max="8" width="81" customWidth="1"/>
    <col min="9" max="9" width="36" customWidth="1"/>
    <col min="10" max="11" width="30.36328125" customWidth="1"/>
    <col min="12" max="12" width="25.36328125" customWidth="1"/>
    <col min="13" max="13" width="30" customWidth="1"/>
    <col min="14" max="14" width="39.6328125" customWidth="1"/>
    <col min="15" max="15" width="14.36328125" customWidth="1"/>
    <col min="16" max="16" width="22.54296875" customWidth="1"/>
    <col min="17" max="17" width="22.90625" customWidth="1"/>
    <col min="18" max="18" width="18.6328125" customWidth="1"/>
    <col min="19" max="19" width="31.36328125" customWidth="1"/>
    <col min="20" max="20" width="24.6328125" customWidth="1"/>
  </cols>
  <sheetData>
    <row r="1" spans="1:37" ht="13">
      <c r="A1" s="15" t="s">
        <v>27</v>
      </c>
      <c r="B1" s="225" t="s">
        <v>16</v>
      </c>
      <c r="C1" s="225" t="s">
        <v>69</v>
      </c>
      <c r="D1" s="213" t="s">
        <v>29</v>
      </c>
      <c r="E1" s="213" t="s">
        <v>30</v>
      </c>
      <c r="F1" s="213" t="s">
        <v>70</v>
      </c>
      <c r="G1" s="213" t="s">
        <v>32</v>
      </c>
      <c r="H1" s="213" t="s">
        <v>33</v>
      </c>
      <c r="I1" s="213" t="s">
        <v>34</v>
      </c>
      <c r="J1" s="4"/>
      <c r="K1" s="4"/>
      <c r="L1" s="4"/>
      <c r="M1" s="4"/>
      <c r="N1" s="4"/>
      <c r="O1" s="4"/>
      <c r="P1" s="4"/>
      <c r="Q1" s="4"/>
      <c r="R1" s="4"/>
      <c r="S1" s="4"/>
      <c r="T1" s="14"/>
      <c r="U1" s="14"/>
      <c r="V1" s="14"/>
      <c r="W1" s="14"/>
      <c r="X1" s="14"/>
      <c r="Y1" s="14"/>
      <c r="Z1" s="14"/>
      <c r="AA1" s="14"/>
      <c r="AB1" s="14"/>
      <c r="AC1" s="14"/>
      <c r="AD1" s="14"/>
      <c r="AE1" s="14"/>
      <c r="AF1" s="14"/>
      <c r="AG1" s="14"/>
      <c r="AH1" s="14"/>
      <c r="AI1" s="14"/>
      <c r="AJ1" s="14"/>
      <c r="AK1" s="14"/>
    </row>
    <row r="2" spans="1:37" ht="13">
      <c r="A2" s="9" t="s">
        <v>89</v>
      </c>
      <c r="B2" s="218" t="str">
        <f>Lähtötiedot!B3</f>
        <v>Toimija 1</v>
      </c>
      <c r="C2" s="218" t="str">
        <f>Lähtötiedot!C3</f>
        <v>Toimija 1 Talvivaate 1</v>
      </c>
      <c r="D2" s="238">
        <v>1</v>
      </c>
      <c r="E2" s="238">
        <v>1</v>
      </c>
      <c r="F2" s="222">
        <f>AVERAGE(D2:E2)</f>
        <v>1</v>
      </c>
      <c r="G2" s="222" t="s">
        <v>90</v>
      </c>
      <c r="H2" s="228"/>
      <c r="I2" s="222"/>
      <c r="O2" s="16"/>
      <c r="P2" s="16"/>
      <c r="Q2" s="16"/>
      <c r="R2" s="16"/>
      <c r="S2" s="23"/>
    </row>
    <row r="3" spans="1:37" ht="13">
      <c r="A3" s="9"/>
      <c r="B3" s="218"/>
      <c r="C3" s="218" t="str">
        <f>Lähtötiedot!C4</f>
        <v>Toimija 1 Talvivaate 2</v>
      </c>
      <c r="D3" s="238">
        <v>1</v>
      </c>
      <c r="E3" s="238">
        <v>1</v>
      </c>
      <c r="F3" s="222">
        <v>2</v>
      </c>
      <c r="G3" s="222" t="s">
        <v>90</v>
      </c>
      <c r="H3" s="228"/>
      <c r="I3" s="222"/>
      <c r="O3" s="16"/>
      <c r="P3" s="16"/>
      <c r="Q3" s="16"/>
      <c r="R3" s="13"/>
      <c r="S3" s="23"/>
    </row>
    <row r="4" spans="1:37" ht="13">
      <c r="A4" s="9"/>
      <c r="B4" s="218"/>
      <c r="C4" s="218"/>
      <c r="D4" s="222"/>
      <c r="E4" s="222"/>
      <c r="F4" s="222"/>
      <c r="G4" s="222"/>
      <c r="H4" s="232"/>
      <c r="I4" s="233"/>
      <c r="J4" s="16"/>
      <c r="K4" s="16"/>
      <c r="L4" s="16"/>
      <c r="M4" s="16"/>
      <c r="N4" s="16"/>
      <c r="O4" s="16"/>
      <c r="P4" s="16"/>
      <c r="Q4" s="16"/>
      <c r="R4" s="13"/>
      <c r="S4" s="16"/>
    </row>
    <row r="5" spans="1:37" ht="13">
      <c r="A5" s="9"/>
      <c r="B5" s="218" t="str">
        <f>Lähtötiedot!B5</f>
        <v>Toimija 2</v>
      </c>
      <c r="C5" s="218" t="str">
        <f>Lähtötiedot!C5</f>
        <v>Toimija 2 vaate 1</v>
      </c>
      <c r="D5" s="222"/>
      <c r="E5" s="222"/>
      <c r="F5" s="238">
        <v>1</v>
      </c>
      <c r="G5" s="222" t="s">
        <v>90</v>
      </c>
      <c r="H5" s="232"/>
      <c r="I5" s="233"/>
      <c r="J5" s="16"/>
      <c r="K5" s="16"/>
      <c r="L5" s="16"/>
      <c r="M5" s="16"/>
      <c r="N5" s="16"/>
      <c r="O5" s="16"/>
      <c r="P5" s="16"/>
      <c r="Q5" s="16"/>
      <c r="R5" s="13"/>
      <c r="S5" s="16"/>
    </row>
    <row r="6" spans="1:37" ht="13">
      <c r="A6" s="9"/>
      <c r="B6" s="218"/>
      <c r="C6" s="218" t="str">
        <f>Lähtötiedot!C6</f>
        <v>Toimija 2 vaate 2</v>
      </c>
      <c r="D6" s="222"/>
      <c r="E6" s="222"/>
      <c r="F6" s="238">
        <v>1</v>
      </c>
      <c r="G6" s="222" t="s">
        <v>90</v>
      </c>
      <c r="H6" s="232"/>
      <c r="I6" s="233"/>
      <c r="J6" s="16"/>
      <c r="K6" s="16"/>
      <c r="L6" s="16"/>
      <c r="M6" s="16"/>
      <c r="N6" s="16"/>
      <c r="O6" s="16"/>
      <c r="P6" s="16"/>
      <c r="Q6" s="16"/>
      <c r="R6" s="13"/>
      <c r="S6" s="16"/>
    </row>
    <row r="7" spans="1:37" ht="12.5">
      <c r="A7" s="9"/>
      <c r="B7" s="218"/>
      <c r="C7" s="218" t="str">
        <f>Lähtötiedot!C7</f>
        <v>Toimija 2 vaate 3</v>
      </c>
      <c r="D7" s="222"/>
      <c r="E7" s="222"/>
      <c r="F7" s="238">
        <v>1</v>
      </c>
      <c r="G7" s="222" t="s">
        <v>90</v>
      </c>
      <c r="H7" s="233"/>
      <c r="I7" s="233"/>
      <c r="J7" s="16"/>
      <c r="K7" s="16"/>
      <c r="L7" s="16"/>
      <c r="M7" s="16"/>
      <c r="N7" s="16"/>
      <c r="O7" s="19"/>
      <c r="P7" s="16"/>
      <c r="Q7" s="16"/>
      <c r="R7" s="13"/>
      <c r="S7" s="16"/>
    </row>
    <row r="8" spans="1:37" ht="12.5">
      <c r="A8" s="9"/>
      <c r="B8" s="218"/>
      <c r="C8" s="218" t="str">
        <f>Lähtötiedot!C8</f>
        <v>Toimija 2 vaate 4</v>
      </c>
      <c r="D8" s="222"/>
      <c r="E8" s="222"/>
      <c r="F8" s="238">
        <v>1</v>
      </c>
      <c r="G8" s="222" t="s">
        <v>90</v>
      </c>
      <c r="H8" s="233"/>
      <c r="I8" s="233"/>
      <c r="O8" s="16"/>
      <c r="P8" s="16"/>
      <c r="Q8" s="16"/>
      <c r="R8" s="13"/>
      <c r="S8" s="23"/>
    </row>
    <row r="9" spans="1:37" ht="12.5">
      <c r="A9" s="9"/>
      <c r="B9" s="218"/>
      <c r="C9" s="218" t="str">
        <f>Lähtötiedot!C9</f>
        <v>Toimija 2 vaate 5</v>
      </c>
      <c r="D9" s="222"/>
      <c r="E9" s="222"/>
      <c r="F9" s="238">
        <v>1</v>
      </c>
      <c r="G9" s="222" t="s">
        <v>90</v>
      </c>
      <c r="H9" s="233"/>
      <c r="I9" s="233"/>
      <c r="O9" s="16"/>
      <c r="P9" s="16"/>
      <c r="Q9" s="16"/>
      <c r="R9" s="13"/>
      <c r="S9" s="23"/>
    </row>
    <row r="10" spans="1:37" ht="12.5">
      <c r="A10" s="9"/>
      <c r="B10" s="218"/>
      <c r="C10" s="218"/>
      <c r="D10" s="222"/>
      <c r="E10" s="222"/>
      <c r="F10" s="222"/>
      <c r="G10" s="222"/>
      <c r="H10" s="239"/>
      <c r="I10" s="234"/>
      <c r="P10" s="13"/>
      <c r="Q10" s="13"/>
      <c r="R10" s="13"/>
      <c r="S10" s="23"/>
    </row>
    <row r="11" spans="1:37" ht="13">
      <c r="A11" s="9"/>
      <c r="B11" s="218" t="str">
        <f>Lähtötiedot!B10</f>
        <v>Toimija 3</v>
      </c>
      <c r="C11" s="218" t="str">
        <f>Lähtötiedot!C10</f>
        <v>Toimija 3 vaate 1</v>
      </c>
      <c r="D11" s="222"/>
      <c r="E11" s="222"/>
      <c r="F11" s="238">
        <v>1</v>
      </c>
      <c r="G11" s="222" t="s">
        <v>90</v>
      </c>
      <c r="H11" s="232"/>
      <c r="I11" s="222"/>
      <c r="J11" s="16"/>
      <c r="K11" s="16"/>
      <c r="L11" s="16"/>
      <c r="M11" s="16"/>
      <c r="N11" s="16"/>
      <c r="O11" s="13"/>
      <c r="P11" s="16"/>
      <c r="Q11" s="16"/>
      <c r="R11" s="13"/>
      <c r="S11" s="23"/>
    </row>
    <row r="12" spans="1:37" ht="13">
      <c r="A12" s="9"/>
      <c r="B12" s="218"/>
      <c r="C12" s="218" t="str">
        <f>Lähtötiedot!C11</f>
        <v>Toimija 3 vaate 2</v>
      </c>
      <c r="D12" s="222"/>
      <c r="E12" s="222"/>
      <c r="F12" s="238">
        <v>1</v>
      </c>
      <c r="G12" s="222" t="s">
        <v>90</v>
      </c>
      <c r="H12" s="232"/>
      <c r="I12" s="222"/>
      <c r="J12" s="16"/>
      <c r="K12" s="16"/>
      <c r="L12" s="16"/>
      <c r="M12" s="16"/>
      <c r="N12" s="16"/>
      <c r="O12" s="13"/>
      <c r="P12" s="16"/>
      <c r="Q12" s="16"/>
      <c r="R12" s="13"/>
      <c r="S12" s="23"/>
    </row>
    <row r="13" spans="1:37" ht="13">
      <c r="A13" s="9"/>
      <c r="B13" s="218"/>
      <c r="C13" s="218" t="str">
        <f>Lähtötiedot!C12</f>
        <v>Toimija 3 vaate 3</v>
      </c>
      <c r="D13" s="222"/>
      <c r="E13" s="222"/>
      <c r="F13" s="238">
        <v>1</v>
      </c>
      <c r="G13" s="222" t="s">
        <v>90</v>
      </c>
      <c r="H13" s="232"/>
      <c r="I13" s="222"/>
      <c r="J13" s="16"/>
      <c r="K13" s="16"/>
      <c r="L13" s="16"/>
      <c r="M13" s="16"/>
      <c r="N13" s="16"/>
      <c r="O13" s="13"/>
      <c r="P13" s="16"/>
      <c r="Q13" s="16"/>
      <c r="R13" s="13"/>
      <c r="S13" s="23"/>
    </row>
    <row r="14" spans="1:37" ht="13">
      <c r="A14" s="9"/>
      <c r="B14" s="218"/>
      <c r="C14" s="218" t="str">
        <f>Lähtötiedot!C13</f>
        <v>Toimija 3 vaate 4</v>
      </c>
      <c r="D14" s="222"/>
      <c r="E14" s="222"/>
      <c r="F14" s="238">
        <v>1</v>
      </c>
      <c r="G14" s="222" t="s">
        <v>90</v>
      </c>
      <c r="H14" s="232"/>
      <c r="I14" s="222"/>
      <c r="J14" s="16"/>
      <c r="K14" s="16"/>
      <c r="L14" s="16"/>
      <c r="M14" s="16"/>
      <c r="N14" s="16"/>
      <c r="O14" s="13"/>
      <c r="P14" s="16"/>
      <c r="Q14" s="16"/>
      <c r="R14" s="13"/>
      <c r="S14" s="23"/>
    </row>
    <row r="15" spans="1:37" ht="13">
      <c r="A15" s="15" t="s">
        <v>27</v>
      </c>
      <c r="B15" s="225" t="s">
        <v>16</v>
      </c>
      <c r="C15" s="225" t="s">
        <v>92</v>
      </c>
      <c r="D15" s="225"/>
      <c r="E15" s="225"/>
      <c r="F15" s="225" t="s">
        <v>93</v>
      </c>
      <c r="G15" s="225" t="s">
        <v>32</v>
      </c>
      <c r="H15" s="213" t="s">
        <v>33</v>
      </c>
      <c r="I15" s="213" t="s">
        <v>34</v>
      </c>
      <c r="J15" s="225"/>
      <c r="K15" s="225"/>
      <c r="L15" s="225"/>
      <c r="M15" s="225"/>
      <c r="N15" s="225"/>
      <c r="O15" s="15"/>
      <c r="P15" s="15"/>
      <c r="Q15" s="15"/>
      <c r="R15" s="15"/>
      <c r="S15" s="15"/>
      <c r="T15" s="9"/>
      <c r="U15" s="9"/>
      <c r="V15" s="9"/>
      <c r="W15" s="9"/>
      <c r="X15" s="9"/>
      <c r="Y15" s="9"/>
      <c r="Z15" s="9"/>
      <c r="AA15" s="9"/>
      <c r="AB15" s="9"/>
      <c r="AC15" s="9"/>
      <c r="AD15" s="9"/>
      <c r="AE15" s="9"/>
      <c r="AF15" s="9"/>
      <c r="AG15" s="9"/>
      <c r="AH15" s="9"/>
      <c r="AI15" s="9"/>
      <c r="AJ15" s="9"/>
      <c r="AK15" s="9"/>
    </row>
    <row r="16" spans="1:37" ht="12.5">
      <c r="A16" s="9" t="s">
        <v>94</v>
      </c>
      <c r="B16" s="218" t="s">
        <v>95</v>
      </c>
      <c r="C16" s="218" t="s">
        <v>96</v>
      </c>
      <c r="D16" s="222"/>
      <c r="E16" s="222"/>
      <c r="F16" s="238">
        <v>5.6399999999999999E-2</v>
      </c>
      <c r="G16" s="222" t="s">
        <v>97</v>
      </c>
      <c r="H16" s="240" t="s">
        <v>98</v>
      </c>
      <c r="I16" s="234"/>
      <c r="J16" s="221"/>
      <c r="K16" s="221"/>
      <c r="L16" s="221"/>
      <c r="M16" s="221"/>
      <c r="N16" s="221"/>
    </row>
    <row r="17" spans="1:19" ht="12.5">
      <c r="B17" s="218"/>
      <c r="C17" s="218"/>
      <c r="D17" s="222"/>
      <c r="E17" s="222"/>
      <c r="F17" s="222"/>
      <c r="G17" s="222"/>
      <c r="H17" s="240"/>
      <c r="I17" s="222"/>
      <c r="J17" s="222" t="s">
        <v>99</v>
      </c>
      <c r="K17" s="222" t="s">
        <v>100</v>
      </c>
      <c r="L17" s="222" t="s">
        <v>101</v>
      </c>
      <c r="M17" s="222" t="s">
        <v>102</v>
      </c>
      <c r="N17" s="222"/>
      <c r="O17" s="13"/>
      <c r="P17" s="16"/>
      <c r="Q17" s="16"/>
    </row>
    <row r="18" spans="1:19" ht="12.5">
      <c r="B18" s="218"/>
      <c r="C18" s="218" t="s">
        <v>103</v>
      </c>
      <c r="D18" s="222"/>
      <c r="E18" s="222"/>
      <c r="F18" s="238">
        <v>1E-4</v>
      </c>
      <c r="G18" s="222" t="s">
        <v>104</v>
      </c>
      <c r="H18" s="241" t="s">
        <v>105</v>
      </c>
      <c r="I18" s="222"/>
      <c r="J18" s="222">
        <v>2.94</v>
      </c>
      <c r="K18" s="222">
        <v>142.80000000000001</v>
      </c>
      <c r="L18" s="222">
        <f>AVERAGE(J18:K18)</f>
        <v>72.87</v>
      </c>
      <c r="M18" s="222">
        <f>(12*L18)</f>
        <v>874.44</v>
      </c>
      <c r="N18" s="222"/>
      <c r="O18" s="13"/>
      <c r="P18" s="16"/>
      <c r="Q18" s="16"/>
    </row>
    <row r="19" spans="1:19" ht="12.5">
      <c r="B19" s="218"/>
      <c r="C19" s="218" t="s">
        <v>106</v>
      </c>
      <c r="D19" s="222"/>
      <c r="E19" s="222"/>
      <c r="F19" s="238">
        <v>1.1900000000000001E-3</v>
      </c>
      <c r="G19" s="222" t="s">
        <v>104</v>
      </c>
      <c r="H19" s="241" t="s">
        <v>107</v>
      </c>
      <c r="I19" s="222"/>
      <c r="J19" s="222"/>
      <c r="K19" s="222"/>
      <c r="L19" s="222"/>
      <c r="M19" s="222"/>
      <c r="N19" s="222"/>
      <c r="O19" s="13"/>
      <c r="P19" s="16"/>
      <c r="Q19" s="16"/>
    </row>
    <row r="20" spans="1:19" ht="12.5">
      <c r="B20" s="221"/>
      <c r="C20" s="218" t="s">
        <v>108</v>
      </c>
      <c r="D20" s="222"/>
      <c r="E20" s="222"/>
      <c r="F20" s="238">
        <v>1.41E-3</v>
      </c>
      <c r="G20" s="222" t="s">
        <v>104</v>
      </c>
      <c r="H20" s="241" t="s">
        <v>109</v>
      </c>
      <c r="I20" s="222"/>
      <c r="J20" s="222"/>
      <c r="K20" s="222"/>
      <c r="L20" s="222"/>
      <c r="M20" s="222"/>
      <c r="N20" s="222"/>
      <c r="O20" s="13"/>
      <c r="P20" s="16"/>
      <c r="Q20" s="16"/>
      <c r="R20" s="13"/>
      <c r="S20" s="24"/>
    </row>
    <row r="21" spans="1:19" ht="13">
      <c r="B21" s="221"/>
      <c r="C21" s="218"/>
      <c r="D21" s="222"/>
      <c r="E21" s="222"/>
      <c r="F21" s="222"/>
      <c r="G21" s="222"/>
      <c r="H21" s="222"/>
      <c r="I21" s="222"/>
      <c r="J21" s="213" t="s">
        <v>110</v>
      </c>
      <c r="K21" s="252" t="s">
        <v>111</v>
      </c>
      <c r="L21" s="252" t="s">
        <v>112</v>
      </c>
      <c r="M21" s="221"/>
      <c r="N21" s="221"/>
      <c r="O21" s="13"/>
      <c r="P21" s="16"/>
      <c r="Q21" s="16"/>
      <c r="R21" s="13"/>
      <c r="S21" s="24"/>
    </row>
    <row r="22" spans="1:19" ht="12.5">
      <c r="B22" s="221"/>
      <c r="C22" s="218" t="s">
        <v>113</v>
      </c>
      <c r="D22" s="222"/>
      <c r="E22" s="222"/>
      <c r="F22" s="222">
        <f>(L22*J22)</f>
        <v>3.8999999999999998E-3</v>
      </c>
      <c r="G22" s="222" t="s">
        <v>114</v>
      </c>
      <c r="H22" s="222"/>
      <c r="I22" s="222"/>
      <c r="J22" s="238">
        <v>4.5</v>
      </c>
      <c r="K22" s="222">
        <v>5.1999999999999998E-3</v>
      </c>
      <c r="L22" s="253">
        <f>(K22/6)</f>
        <v>8.6666666666666663E-4</v>
      </c>
      <c r="M22" s="221"/>
      <c r="N22" s="221"/>
      <c r="O22" s="13"/>
      <c r="P22" s="16"/>
      <c r="Q22" s="16"/>
      <c r="R22" s="13"/>
      <c r="S22" s="24"/>
    </row>
    <row r="23" spans="1:19" ht="13">
      <c r="B23" s="221"/>
      <c r="C23" s="218"/>
      <c r="D23" s="222"/>
      <c r="E23" s="222"/>
      <c r="F23" s="222"/>
      <c r="G23" s="222"/>
      <c r="H23" s="222"/>
      <c r="I23" s="222"/>
      <c r="J23" s="213" t="s">
        <v>115</v>
      </c>
      <c r="K23" s="213" t="s">
        <v>116</v>
      </c>
      <c r="L23" s="213" t="s">
        <v>117</v>
      </c>
      <c r="M23" s="252" t="s">
        <v>118</v>
      </c>
      <c r="N23" s="213" t="s">
        <v>119</v>
      </c>
      <c r="S23" s="24"/>
    </row>
    <row r="24" spans="1:19" ht="12.5">
      <c r="B24" s="221"/>
      <c r="C24" s="218" t="s">
        <v>120</v>
      </c>
      <c r="D24" s="222"/>
      <c r="E24" s="222"/>
      <c r="F24" s="242">
        <f>(N24/'Kotikonemallien lähtötiedot'!B6)</f>
        <v>3.2404735799334443E-2</v>
      </c>
      <c r="G24" s="222" t="s">
        <v>121</v>
      </c>
      <c r="H24" s="222" t="s">
        <v>122</v>
      </c>
      <c r="I24" s="222"/>
      <c r="J24" s="217">
        <f>('Kotikonemallien lähtötiedot'!E6)</f>
        <v>471.69499999999999</v>
      </c>
      <c r="K24" s="222">
        <v>12.9</v>
      </c>
      <c r="L24" s="222">
        <v>3.5</v>
      </c>
      <c r="M24" s="222">
        <f>(K24*52*L24)</f>
        <v>2347.8000000000002</v>
      </c>
      <c r="N24" s="222">
        <f>(J24/M24)</f>
        <v>0.20090936195587356</v>
      </c>
      <c r="S24" s="24" t="s">
        <v>123</v>
      </c>
    </row>
    <row r="25" spans="1:19" ht="13">
      <c r="A25" s="9"/>
      <c r="B25" s="221"/>
      <c r="C25" s="218" t="s">
        <v>124</v>
      </c>
      <c r="D25" s="222"/>
      <c r="E25" s="222"/>
      <c r="F25" s="242">
        <f>(N25/'Kotikonemallien lähtötiedot'!K6)</f>
        <v>4.0613741024137735E-2</v>
      </c>
      <c r="G25" s="222" t="s">
        <v>121</v>
      </c>
      <c r="H25" s="222" t="s">
        <v>125</v>
      </c>
      <c r="I25" s="243"/>
      <c r="J25" s="217">
        <f>('Kotikonemallien lähtötiedot'!N6)</f>
        <v>694.71428571428567</v>
      </c>
      <c r="K25" s="222">
        <v>12.9</v>
      </c>
      <c r="L25" s="222">
        <v>3.5</v>
      </c>
      <c r="M25" s="222">
        <f>(K25*52*L25)</f>
        <v>2347.8000000000002</v>
      </c>
      <c r="N25" s="222">
        <f>(J25/M25)</f>
        <v>0.29590011317586062</v>
      </c>
      <c r="S25" s="9" t="s">
        <v>126</v>
      </c>
    </row>
    <row r="26" spans="1:19" ht="13">
      <c r="A26" s="9"/>
      <c r="B26" s="218"/>
      <c r="C26" s="218" t="s">
        <v>127</v>
      </c>
      <c r="D26" s="222"/>
      <c r="E26" s="222"/>
      <c r="F26" s="242">
        <f>(N26/'Kotikonemallien lähtötiedot'!P6)</f>
        <v>0.10634068773603655</v>
      </c>
      <c r="G26" s="222" t="s">
        <v>121</v>
      </c>
      <c r="H26" s="222" t="s">
        <v>125</v>
      </c>
      <c r="I26" s="243"/>
      <c r="J26" s="217">
        <f>('Kotikonemallien lähtötiedot'!S6)</f>
        <v>998.66666666666663</v>
      </c>
      <c r="K26" s="222">
        <v>12.9</v>
      </c>
      <c r="L26" s="222">
        <v>3.5</v>
      </c>
      <c r="M26" s="222">
        <f>(K26*52*L26)</f>
        <v>2347.8000000000002</v>
      </c>
      <c r="N26" s="222">
        <f>(J26/M26)</f>
        <v>0.42536275094414622</v>
      </c>
      <c r="S26" s="9" t="s">
        <v>126</v>
      </c>
    </row>
    <row r="27" spans="1:19" ht="12.5">
      <c r="B27" s="221"/>
      <c r="C27" s="218" t="s">
        <v>128</v>
      </c>
      <c r="D27" s="222"/>
      <c r="E27" s="222"/>
      <c r="F27" s="238">
        <v>13.79</v>
      </c>
      <c r="G27" s="244" t="s">
        <v>129</v>
      </c>
      <c r="H27" s="237"/>
      <c r="I27" s="222" t="s">
        <v>91</v>
      </c>
    </row>
    <row r="28" spans="1:19" ht="12.5">
      <c r="B28" s="221"/>
      <c r="C28" s="218" t="s">
        <v>130</v>
      </c>
      <c r="D28" s="222"/>
      <c r="E28" s="222"/>
      <c r="F28" s="238">
        <v>0.25</v>
      </c>
      <c r="G28" s="244" t="s">
        <v>131</v>
      </c>
      <c r="H28" s="221"/>
      <c r="I28" s="222" t="s">
        <v>132</v>
      </c>
    </row>
    <row r="29" spans="1:19" ht="12.5">
      <c r="B29" s="221"/>
      <c r="C29" s="221"/>
      <c r="D29" s="222"/>
      <c r="E29" s="222"/>
      <c r="F29" s="222"/>
      <c r="G29" s="222"/>
      <c r="H29" s="221"/>
      <c r="I29" s="221"/>
    </row>
    <row r="30" spans="1:19" ht="12.5">
      <c r="B30" s="218" t="str">
        <f>('Palveluntarjoajien lähtötiedot'!A8)</f>
        <v>PESULA 1</v>
      </c>
      <c r="C30" s="218" t="str">
        <f>(C2)</f>
        <v>Toimija 1 Talvivaate 1</v>
      </c>
      <c r="D30" s="222"/>
      <c r="E30" s="222"/>
      <c r="F30" s="238">
        <v>2.35</v>
      </c>
      <c r="G30" s="222" t="s">
        <v>90</v>
      </c>
      <c r="H30" s="221"/>
      <c r="I30" s="222" t="s">
        <v>91</v>
      </c>
    </row>
    <row r="31" spans="1:19" ht="12.5">
      <c r="B31" s="221"/>
      <c r="C31" s="218" t="str">
        <f>(C3)</f>
        <v>Toimija 1 Talvivaate 2</v>
      </c>
      <c r="D31" s="221"/>
      <c r="E31" s="221"/>
      <c r="F31" s="238">
        <v>2.42</v>
      </c>
      <c r="G31" s="222" t="s">
        <v>90</v>
      </c>
      <c r="H31" s="221"/>
      <c r="I31" s="222" t="s">
        <v>91</v>
      </c>
    </row>
    <row r="32" spans="1:19" ht="12.5">
      <c r="B32" s="221"/>
      <c r="C32" s="218"/>
      <c r="D32" s="221"/>
      <c r="E32" s="221"/>
      <c r="F32" s="222"/>
      <c r="G32" s="218"/>
      <c r="H32" s="221"/>
      <c r="I32" s="222"/>
    </row>
    <row r="33" spans="2:9" ht="12.5">
      <c r="B33" s="221"/>
      <c r="C33" s="218" t="str">
        <f>(C5)</f>
        <v>Toimija 2 vaate 1</v>
      </c>
      <c r="D33" s="221"/>
      <c r="E33" s="221"/>
      <c r="F33" s="238">
        <v>1.45</v>
      </c>
      <c r="G33" s="222" t="s">
        <v>90</v>
      </c>
      <c r="H33" s="218" t="s">
        <v>133</v>
      </c>
      <c r="I33" s="222" t="s">
        <v>134</v>
      </c>
    </row>
    <row r="34" spans="2:9" ht="12.5">
      <c r="B34" s="221"/>
      <c r="C34" s="218" t="str">
        <f>(C6)</f>
        <v>Toimija 2 vaate 2</v>
      </c>
      <c r="D34" s="221"/>
      <c r="E34" s="221"/>
      <c r="F34" s="238">
        <v>1.45</v>
      </c>
      <c r="G34" s="222" t="s">
        <v>90</v>
      </c>
      <c r="H34" s="218" t="s">
        <v>133</v>
      </c>
      <c r="I34" s="222" t="s">
        <v>134</v>
      </c>
    </row>
    <row r="35" spans="2:9" ht="12.5">
      <c r="B35" s="221"/>
      <c r="C35" s="218" t="str">
        <f>(C7)</f>
        <v>Toimija 2 vaate 3</v>
      </c>
      <c r="D35" s="221"/>
      <c r="E35" s="221"/>
      <c r="F35" s="238">
        <v>1.45</v>
      </c>
      <c r="G35" s="222" t="s">
        <v>90</v>
      </c>
      <c r="H35" s="218" t="s">
        <v>135</v>
      </c>
      <c r="I35" s="222" t="s">
        <v>134</v>
      </c>
    </row>
    <row r="36" spans="2:9" ht="12.5">
      <c r="B36" s="221"/>
      <c r="C36" s="218" t="str">
        <f>(C8)</f>
        <v>Toimija 2 vaate 4</v>
      </c>
      <c r="D36" s="221"/>
      <c r="E36" s="221"/>
      <c r="F36" s="238">
        <v>0.67</v>
      </c>
      <c r="G36" s="222" t="s">
        <v>90</v>
      </c>
      <c r="H36" s="218" t="s">
        <v>136</v>
      </c>
      <c r="I36" s="222" t="s">
        <v>134</v>
      </c>
    </row>
    <row r="37" spans="2:9" ht="12.5">
      <c r="B37" s="221"/>
      <c r="C37" s="218" t="str">
        <f>(C9)</f>
        <v>Toimija 2 vaate 5</v>
      </c>
      <c r="D37" s="221"/>
      <c r="E37" s="221"/>
      <c r="F37" s="238">
        <v>1.45</v>
      </c>
      <c r="G37" s="222" t="s">
        <v>90</v>
      </c>
      <c r="H37" s="218" t="s">
        <v>137</v>
      </c>
      <c r="I37" s="222" t="s">
        <v>134</v>
      </c>
    </row>
    <row r="38" spans="2:9" ht="12.5">
      <c r="B38" s="221"/>
      <c r="C38" s="218"/>
      <c r="D38" s="221"/>
      <c r="E38" s="221"/>
      <c r="F38" s="222"/>
      <c r="G38" s="218"/>
      <c r="H38" s="221"/>
      <c r="I38" s="222"/>
    </row>
    <row r="39" spans="2:9" ht="12.5">
      <c r="B39" s="221"/>
      <c r="C39" s="218" t="str">
        <f>(C11)</f>
        <v>Toimija 3 vaate 1</v>
      </c>
      <c r="D39" s="221"/>
      <c r="E39" s="221"/>
      <c r="F39" s="238"/>
      <c r="G39" s="222" t="s">
        <v>90</v>
      </c>
      <c r="H39" s="221"/>
      <c r="I39" s="222"/>
    </row>
    <row r="40" spans="2:9" ht="12.5">
      <c r="B40" s="221"/>
      <c r="C40" s="218" t="str">
        <f>(C12)</f>
        <v>Toimija 3 vaate 2</v>
      </c>
      <c r="D40" s="221"/>
      <c r="E40" s="221"/>
      <c r="F40" s="238"/>
      <c r="G40" s="222" t="s">
        <v>90</v>
      </c>
      <c r="H40" s="221"/>
      <c r="I40" s="222"/>
    </row>
    <row r="41" spans="2:9" ht="12.5">
      <c r="B41" s="221"/>
      <c r="C41" s="218" t="str">
        <f>(C13)</f>
        <v>Toimija 3 vaate 3</v>
      </c>
      <c r="D41" s="221"/>
      <c r="E41" s="221"/>
      <c r="F41" s="238"/>
      <c r="G41" s="222" t="s">
        <v>90</v>
      </c>
      <c r="H41" s="221"/>
      <c r="I41" s="222"/>
    </row>
    <row r="42" spans="2:9" ht="12.5">
      <c r="B42" s="221"/>
      <c r="C42" s="218" t="str">
        <f>(C14)</f>
        <v>Toimija 3 vaate 4</v>
      </c>
      <c r="D42" s="221"/>
      <c r="E42" s="221"/>
      <c r="F42" s="238"/>
      <c r="G42" s="222" t="s">
        <v>90</v>
      </c>
      <c r="H42" s="221"/>
      <c r="I42" s="222"/>
    </row>
    <row r="43" spans="2:9" ht="12.5">
      <c r="B43" s="221"/>
      <c r="C43" s="218"/>
      <c r="D43" s="221"/>
      <c r="E43" s="221"/>
      <c r="F43" s="222"/>
      <c r="G43" s="218"/>
      <c r="H43" s="221"/>
      <c r="I43" s="222"/>
    </row>
    <row r="44" spans="2:9" ht="14">
      <c r="B44" s="218" t="str">
        <f>('Palveluntarjoajien lähtötiedot'!A9)</f>
        <v>PESULA 2</v>
      </c>
      <c r="C44" s="245" t="str">
        <f>(C2)</f>
        <v>Toimija 1 Talvivaate 1</v>
      </c>
      <c r="D44" s="221"/>
      <c r="E44" s="221"/>
      <c r="F44" s="238">
        <v>2.2000000000000002</v>
      </c>
      <c r="G44" s="222" t="s">
        <v>90</v>
      </c>
      <c r="H44" s="222" t="s">
        <v>138</v>
      </c>
      <c r="I44" s="222" t="s">
        <v>91</v>
      </c>
    </row>
    <row r="45" spans="2:9" ht="14">
      <c r="B45" s="218"/>
      <c r="C45" s="245" t="str">
        <f>(C3)</f>
        <v>Toimija 1 Talvivaate 2</v>
      </c>
      <c r="D45" s="221"/>
      <c r="E45" s="221"/>
      <c r="F45" s="238">
        <v>2.2000000000000002</v>
      </c>
      <c r="G45" s="222" t="s">
        <v>90</v>
      </c>
      <c r="H45" s="222" t="s">
        <v>138</v>
      </c>
      <c r="I45" s="222" t="s">
        <v>91</v>
      </c>
    </row>
    <row r="46" spans="2:9" ht="13">
      <c r="B46" s="218"/>
      <c r="C46" s="218"/>
      <c r="D46" s="221"/>
      <c r="E46" s="221"/>
      <c r="F46" s="222"/>
      <c r="G46" s="222"/>
      <c r="H46" s="246"/>
      <c r="I46" s="222"/>
    </row>
    <row r="47" spans="2:9" ht="13">
      <c r="B47" s="218"/>
      <c r="C47" s="218" t="str">
        <f>(C5)</f>
        <v>Toimija 2 vaate 1</v>
      </c>
      <c r="D47" s="221"/>
      <c r="E47" s="221"/>
      <c r="F47" s="238"/>
      <c r="G47" s="222" t="s">
        <v>90</v>
      </c>
      <c r="H47" s="246"/>
      <c r="I47" s="222"/>
    </row>
    <row r="48" spans="2:9" ht="13">
      <c r="B48" s="218"/>
      <c r="C48" s="218" t="str">
        <f>(C6)</f>
        <v>Toimija 2 vaate 2</v>
      </c>
      <c r="D48" s="221"/>
      <c r="E48" s="221"/>
      <c r="F48" s="238"/>
      <c r="G48" s="222" t="s">
        <v>90</v>
      </c>
      <c r="H48" s="246"/>
      <c r="I48" s="222"/>
    </row>
    <row r="49" spans="2:9" ht="13">
      <c r="B49" s="218"/>
      <c r="C49" s="218" t="str">
        <f>(C7)</f>
        <v>Toimija 2 vaate 3</v>
      </c>
      <c r="D49" s="221"/>
      <c r="E49" s="221"/>
      <c r="F49" s="238"/>
      <c r="G49" s="222" t="s">
        <v>90</v>
      </c>
      <c r="H49" s="246"/>
      <c r="I49" s="222"/>
    </row>
    <row r="50" spans="2:9" ht="13">
      <c r="B50" s="218"/>
      <c r="C50" s="218" t="str">
        <f>(C8)</f>
        <v>Toimija 2 vaate 4</v>
      </c>
      <c r="D50" s="221"/>
      <c r="E50" s="221"/>
      <c r="F50" s="238"/>
      <c r="G50" s="222" t="s">
        <v>90</v>
      </c>
      <c r="H50" s="246"/>
      <c r="I50" s="222"/>
    </row>
    <row r="51" spans="2:9" ht="13">
      <c r="B51" s="218"/>
      <c r="C51" s="218" t="str">
        <f>(C9)</f>
        <v>Toimija 2 vaate 5</v>
      </c>
      <c r="D51" s="221"/>
      <c r="E51" s="221"/>
      <c r="F51" s="238"/>
      <c r="G51" s="222" t="s">
        <v>90</v>
      </c>
      <c r="H51" s="246"/>
      <c r="I51" s="222"/>
    </row>
    <row r="52" spans="2:9" ht="12.5">
      <c r="B52" s="218"/>
      <c r="C52" s="218"/>
      <c r="D52" s="221"/>
      <c r="E52" s="221"/>
      <c r="F52" s="222"/>
      <c r="G52" s="222"/>
      <c r="H52" s="222"/>
      <c r="I52" s="222"/>
    </row>
    <row r="53" spans="2:9" ht="13">
      <c r="B53" s="218"/>
      <c r="C53" s="218" t="str">
        <f>(C11)</f>
        <v>Toimija 3 vaate 1</v>
      </c>
      <c r="D53" s="221"/>
      <c r="E53" s="221"/>
      <c r="F53" s="238"/>
      <c r="G53" s="222" t="s">
        <v>90</v>
      </c>
      <c r="H53" s="246"/>
      <c r="I53" s="222"/>
    </row>
    <row r="54" spans="2:9" ht="13">
      <c r="B54" s="218"/>
      <c r="C54" s="218" t="str">
        <f>(C12)</f>
        <v>Toimija 3 vaate 2</v>
      </c>
      <c r="D54" s="221"/>
      <c r="E54" s="221"/>
      <c r="F54" s="238"/>
      <c r="G54" s="222" t="s">
        <v>90</v>
      </c>
      <c r="H54" s="246"/>
      <c r="I54" s="222"/>
    </row>
    <row r="55" spans="2:9" ht="13">
      <c r="B55" s="218"/>
      <c r="C55" s="218" t="str">
        <f>(C13)</f>
        <v>Toimija 3 vaate 3</v>
      </c>
      <c r="D55" s="221"/>
      <c r="E55" s="221"/>
      <c r="F55" s="238"/>
      <c r="G55" s="222" t="s">
        <v>90</v>
      </c>
      <c r="H55" s="246"/>
      <c r="I55" s="222"/>
    </row>
    <row r="56" spans="2:9" ht="13">
      <c r="B56" s="218"/>
      <c r="C56" s="218" t="str">
        <f>(C14)</f>
        <v>Toimija 3 vaate 4</v>
      </c>
      <c r="D56" s="221"/>
      <c r="E56" s="221"/>
      <c r="F56" s="238"/>
      <c r="G56" s="222" t="s">
        <v>90</v>
      </c>
      <c r="H56" s="246"/>
      <c r="I56" s="222"/>
    </row>
    <row r="57" spans="2:9" ht="12.5">
      <c r="B57" s="218"/>
      <c r="C57" s="218"/>
      <c r="D57" s="221"/>
      <c r="E57" s="221"/>
      <c r="F57" s="222"/>
      <c r="G57" s="222"/>
      <c r="H57" s="222"/>
      <c r="I57" s="222"/>
    </row>
    <row r="58" spans="2:9" ht="14">
      <c r="B58" s="218" t="str">
        <f>('Palveluntarjoajien lähtötiedot'!A10)</f>
        <v>PESULA 3</v>
      </c>
      <c r="C58" s="247" t="str">
        <f>(C2)</f>
        <v>Toimija 1 Talvivaate 1</v>
      </c>
      <c r="D58" s="221"/>
      <c r="E58" s="221"/>
      <c r="F58" s="238"/>
      <c r="G58" s="222" t="s">
        <v>90</v>
      </c>
      <c r="H58" s="246"/>
      <c r="I58" s="222"/>
    </row>
    <row r="59" spans="2:9" ht="14">
      <c r="B59" s="218"/>
      <c r="C59" s="247" t="str">
        <f>(C3)</f>
        <v>Toimija 1 Talvivaate 2</v>
      </c>
      <c r="D59" s="221"/>
      <c r="E59" s="221"/>
      <c r="F59" s="238"/>
      <c r="G59" s="222" t="s">
        <v>90</v>
      </c>
      <c r="H59" s="246"/>
      <c r="I59" s="222"/>
    </row>
    <row r="60" spans="2:9" ht="12.5">
      <c r="B60" s="218"/>
      <c r="C60" s="218"/>
      <c r="D60" s="221"/>
      <c r="E60" s="221"/>
      <c r="F60" s="222"/>
      <c r="G60" s="222"/>
      <c r="H60" s="222"/>
      <c r="I60" s="222"/>
    </row>
    <row r="61" spans="2:9" ht="13">
      <c r="B61" s="218"/>
      <c r="C61" s="218" t="str">
        <f>(C5)</f>
        <v>Toimija 2 vaate 1</v>
      </c>
      <c r="D61" s="221"/>
      <c r="E61" s="221"/>
      <c r="F61" s="238"/>
      <c r="G61" s="222" t="s">
        <v>90</v>
      </c>
      <c r="H61" s="246"/>
      <c r="I61" s="222"/>
    </row>
    <row r="62" spans="2:9" ht="13">
      <c r="B62" s="218"/>
      <c r="C62" s="218" t="str">
        <f>(C6)</f>
        <v>Toimija 2 vaate 2</v>
      </c>
      <c r="D62" s="221"/>
      <c r="E62" s="221"/>
      <c r="F62" s="238"/>
      <c r="G62" s="222" t="s">
        <v>90</v>
      </c>
      <c r="H62" s="246"/>
      <c r="I62" s="222"/>
    </row>
    <row r="63" spans="2:9" ht="13">
      <c r="B63" s="218"/>
      <c r="C63" s="218" t="str">
        <f>(C7)</f>
        <v>Toimija 2 vaate 3</v>
      </c>
      <c r="D63" s="221"/>
      <c r="E63" s="221"/>
      <c r="F63" s="238"/>
      <c r="G63" s="222" t="s">
        <v>90</v>
      </c>
      <c r="H63" s="246"/>
      <c r="I63" s="222"/>
    </row>
    <row r="64" spans="2:9" ht="13">
      <c r="B64" s="218"/>
      <c r="C64" s="218" t="str">
        <f>(C8)</f>
        <v>Toimija 2 vaate 4</v>
      </c>
      <c r="D64" s="221"/>
      <c r="E64" s="221"/>
      <c r="F64" s="238"/>
      <c r="G64" s="222" t="s">
        <v>90</v>
      </c>
      <c r="H64" s="246"/>
      <c r="I64" s="222"/>
    </row>
    <row r="65" spans="1:37" ht="13">
      <c r="B65" s="218"/>
      <c r="C65" s="218" t="str">
        <f>(C9)</f>
        <v>Toimija 2 vaate 5</v>
      </c>
      <c r="D65" s="221"/>
      <c r="E65" s="221"/>
      <c r="F65" s="238"/>
      <c r="G65" s="222" t="s">
        <v>90</v>
      </c>
      <c r="H65" s="246"/>
      <c r="I65" s="222"/>
    </row>
    <row r="66" spans="1:37" ht="12.5">
      <c r="B66" s="218"/>
      <c r="C66" s="218"/>
      <c r="D66" s="221"/>
      <c r="E66" s="221"/>
      <c r="F66" s="222"/>
      <c r="G66" s="222"/>
      <c r="H66" s="222"/>
      <c r="I66" s="222"/>
    </row>
    <row r="67" spans="1:37" ht="13">
      <c r="B67" s="218"/>
      <c r="C67" s="218" t="str">
        <f>(C11)</f>
        <v>Toimija 3 vaate 1</v>
      </c>
      <c r="D67" s="221"/>
      <c r="E67" s="221"/>
      <c r="F67" s="238"/>
      <c r="G67" s="222" t="s">
        <v>90</v>
      </c>
      <c r="H67" s="246"/>
      <c r="I67" s="222"/>
    </row>
    <row r="68" spans="1:37" ht="13">
      <c r="B68" s="218"/>
      <c r="C68" s="218" t="str">
        <f>(C12)</f>
        <v>Toimija 3 vaate 2</v>
      </c>
      <c r="D68" s="221"/>
      <c r="E68" s="221"/>
      <c r="F68" s="238"/>
      <c r="G68" s="222" t="s">
        <v>90</v>
      </c>
      <c r="H68" s="246"/>
      <c r="I68" s="222"/>
    </row>
    <row r="69" spans="1:37" ht="13">
      <c r="B69" s="218"/>
      <c r="C69" s="218" t="str">
        <f>(C13)</f>
        <v>Toimija 3 vaate 3</v>
      </c>
      <c r="D69" s="221"/>
      <c r="E69" s="221"/>
      <c r="F69" s="238"/>
      <c r="G69" s="222" t="s">
        <v>90</v>
      </c>
      <c r="H69" s="246"/>
      <c r="I69" s="222"/>
    </row>
    <row r="70" spans="1:37" ht="13">
      <c r="B70" s="218"/>
      <c r="C70" s="218" t="str">
        <f>(C14)</f>
        <v>Toimija 3 vaate 4</v>
      </c>
      <c r="D70" s="221"/>
      <c r="E70" s="221"/>
      <c r="F70" s="238"/>
      <c r="G70" s="222" t="s">
        <v>90</v>
      </c>
      <c r="H70" s="246"/>
      <c r="I70" s="222"/>
    </row>
    <row r="71" spans="1:37" ht="12.5">
      <c r="B71" s="218"/>
      <c r="C71" s="218"/>
      <c r="D71" s="221"/>
      <c r="E71" s="221"/>
      <c r="F71" s="222"/>
      <c r="G71" s="222"/>
      <c r="H71" s="222"/>
      <c r="I71" s="222"/>
    </row>
    <row r="72" spans="1:37" ht="13">
      <c r="A72" s="15" t="s">
        <v>27</v>
      </c>
      <c r="B72" s="225" t="s">
        <v>16</v>
      </c>
      <c r="C72" s="225" t="s">
        <v>92</v>
      </c>
      <c r="D72" s="225"/>
      <c r="E72" s="225"/>
      <c r="F72" s="225" t="s">
        <v>93</v>
      </c>
      <c r="G72" s="225" t="s">
        <v>32</v>
      </c>
      <c r="H72" s="213" t="s">
        <v>33</v>
      </c>
      <c r="I72" s="213" t="s">
        <v>34</v>
      </c>
      <c r="J72" s="15"/>
      <c r="K72" s="15"/>
      <c r="L72" s="15"/>
      <c r="M72" s="15"/>
      <c r="N72" s="15"/>
      <c r="O72" s="15"/>
      <c r="P72" s="15"/>
      <c r="Q72" s="15"/>
      <c r="R72" s="15"/>
      <c r="S72" s="15"/>
      <c r="T72" s="9"/>
      <c r="U72" s="9"/>
      <c r="V72" s="9"/>
      <c r="W72" s="9"/>
      <c r="X72" s="9"/>
      <c r="Y72" s="9"/>
      <c r="Z72" s="9"/>
      <c r="AA72" s="9"/>
      <c r="AB72" s="9"/>
      <c r="AC72" s="9"/>
      <c r="AD72" s="9"/>
      <c r="AE72" s="9"/>
      <c r="AF72" s="9"/>
      <c r="AG72" s="9"/>
      <c r="AH72" s="9"/>
      <c r="AI72" s="9"/>
      <c r="AJ72" s="9"/>
      <c r="AK72" s="9"/>
    </row>
    <row r="73" spans="1:37" ht="12.5">
      <c r="A73" s="9" t="s">
        <v>139</v>
      </c>
      <c r="B73" s="218" t="s">
        <v>415</v>
      </c>
      <c r="C73" s="218" t="s">
        <v>140</v>
      </c>
      <c r="D73" s="222"/>
      <c r="E73" s="222"/>
      <c r="F73" s="248"/>
      <c r="G73" s="244" t="s">
        <v>121</v>
      </c>
      <c r="H73" s="222" t="s">
        <v>141</v>
      </c>
      <c r="I73" s="221"/>
    </row>
    <row r="74" spans="1:37" ht="12.5">
      <c r="B74" s="221"/>
      <c r="C74" s="221"/>
      <c r="D74" s="222"/>
      <c r="E74" s="222"/>
      <c r="F74" s="222"/>
      <c r="G74" s="244"/>
      <c r="H74" s="222"/>
      <c r="I74" s="221"/>
    </row>
    <row r="75" spans="1:37" ht="12.5">
      <c r="B75" s="221"/>
      <c r="C75" s="221"/>
      <c r="D75" s="222"/>
      <c r="E75" s="222"/>
      <c r="F75" s="222"/>
      <c r="G75" s="244"/>
      <c r="H75" s="222"/>
      <c r="I75" s="221"/>
    </row>
    <row r="76" spans="1:37" ht="13">
      <c r="A76" s="15" t="s">
        <v>27</v>
      </c>
      <c r="B76" s="225" t="s">
        <v>16</v>
      </c>
      <c r="C76" s="225" t="s">
        <v>92</v>
      </c>
      <c r="D76" s="225"/>
      <c r="E76" s="225"/>
      <c r="F76" s="225" t="s">
        <v>93</v>
      </c>
      <c r="G76" s="225" t="s">
        <v>32</v>
      </c>
      <c r="H76" s="213" t="s">
        <v>33</v>
      </c>
      <c r="I76" s="213" t="s">
        <v>34</v>
      </c>
      <c r="J76" s="15"/>
      <c r="K76" s="15"/>
      <c r="L76" s="15"/>
      <c r="M76" s="15"/>
      <c r="N76" s="15"/>
      <c r="O76" s="15"/>
      <c r="P76" s="15"/>
      <c r="Q76" s="15"/>
      <c r="R76" s="15"/>
      <c r="S76" s="15"/>
      <c r="T76" s="9"/>
      <c r="U76" s="9"/>
      <c r="V76" s="9"/>
      <c r="W76" s="9"/>
      <c r="X76" s="9"/>
      <c r="Y76" s="9"/>
      <c r="Z76" s="9"/>
      <c r="AA76" s="9"/>
      <c r="AB76" s="9"/>
      <c r="AC76" s="9"/>
      <c r="AD76" s="9"/>
      <c r="AE76" s="9"/>
      <c r="AF76" s="9"/>
      <c r="AG76" s="9"/>
      <c r="AH76" s="9"/>
      <c r="AI76" s="9"/>
      <c r="AJ76" s="9"/>
      <c r="AK76" s="9"/>
    </row>
    <row r="77" spans="1:37" ht="12.5">
      <c r="A77" s="9" t="s">
        <v>142</v>
      </c>
      <c r="B77" s="218" t="str">
        <f>('Palveluntarjoajien lähtötiedot'!A8)</f>
        <v>PESULA 1</v>
      </c>
      <c r="C77" s="218"/>
      <c r="D77" s="222"/>
      <c r="E77" s="222"/>
      <c r="F77" s="249"/>
      <c r="G77" s="222" t="s">
        <v>121</v>
      </c>
      <c r="H77" s="222" t="s">
        <v>143</v>
      </c>
      <c r="I77" s="222"/>
    </row>
    <row r="78" spans="1:37" ht="12.5">
      <c r="B78" s="218" t="str">
        <f>('Palveluntarjoajien lähtötiedot'!A9)</f>
        <v>PESULA 2</v>
      </c>
      <c r="C78" s="221"/>
      <c r="D78" s="221"/>
      <c r="E78" s="221"/>
      <c r="F78" s="249"/>
      <c r="G78" s="222" t="s">
        <v>121</v>
      </c>
      <c r="H78" s="222" t="s">
        <v>143</v>
      </c>
      <c r="I78" s="222"/>
    </row>
    <row r="79" spans="1:37" ht="12.5">
      <c r="B79" s="250" t="str">
        <f>('Palveluntarjoajien lähtötiedot'!A10)</f>
        <v>PESULA 3</v>
      </c>
      <c r="C79" s="221"/>
      <c r="D79" s="222"/>
      <c r="E79" s="222"/>
      <c r="F79" s="249"/>
      <c r="G79" s="222" t="s">
        <v>121</v>
      </c>
      <c r="H79" s="222" t="s">
        <v>143</v>
      </c>
      <c r="I79" s="222"/>
    </row>
    <row r="80" spans="1:37" ht="18" customHeight="1">
      <c r="B80" s="251" t="s">
        <v>144</v>
      </c>
      <c r="C80" s="237"/>
      <c r="D80" s="222"/>
      <c r="E80" s="222"/>
      <c r="F80" s="249"/>
      <c r="G80" s="222" t="s">
        <v>121</v>
      </c>
      <c r="H80" s="222" t="s">
        <v>143</v>
      </c>
      <c r="I80" s="222"/>
    </row>
    <row r="81" spans="1:37" ht="13">
      <c r="A81" s="15" t="s">
        <v>27</v>
      </c>
      <c r="B81" s="225" t="s">
        <v>16</v>
      </c>
      <c r="C81" s="225" t="s">
        <v>92</v>
      </c>
      <c r="D81" s="225"/>
      <c r="E81" s="225"/>
      <c r="F81" s="225" t="s">
        <v>93</v>
      </c>
      <c r="G81" s="225" t="s">
        <v>32</v>
      </c>
      <c r="H81" s="213" t="s">
        <v>33</v>
      </c>
      <c r="I81" s="213" t="s">
        <v>34</v>
      </c>
      <c r="J81" s="15"/>
      <c r="K81" s="15"/>
      <c r="L81" s="15"/>
      <c r="M81" s="15"/>
      <c r="N81" s="15"/>
      <c r="O81" s="15"/>
      <c r="P81" s="15"/>
      <c r="Q81" s="15"/>
      <c r="R81" s="15"/>
      <c r="S81" s="15"/>
      <c r="T81" s="9"/>
      <c r="U81" s="9"/>
      <c r="V81" s="9"/>
      <c r="W81" s="9"/>
      <c r="X81" s="9"/>
      <c r="Y81" s="9"/>
      <c r="Z81" s="9"/>
      <c r="AA81" s="9"/>
      <c r="AB81" s="9"/>
      <c r="AC81" s="9"/>
      <c r="AD81" s="9"/>
      <c r="AE81" s="9"/>
      <c r="AF81" s="9"/>
      <c r="AG81" s="9"/>
      <c r="AH81" s="9"/>
      <c r="AI81" s="9"/>
      <c r="AJ81" s="9"/>
      <c r="AK81" s="9"/>
    </row>
    <row r="82" spans="1:37" ht="13">
      <c r="A82" s="9" t="s">
        <v>145</v>
      </c>
      <c r="B82" s="237" t="str">
        <f>('Palveluntarjoajien lähtötiedot'!A8)</f>
        <v>PESULA 1</v>
      </c>
      <c r="C82" s="218" t="str">
        <f>(C5)</f>
        <v>Toimija 2 vaate 1</v>
      </c>
      <c r="D82" s="218"/>
      <c r="E82" s="218"/>
      <c r="F82" s="249"/>
      <c r="G82" s="218" t="s">
        <v>146</v>
      </c>
      <c r="H82" s="246"/>
      <c r="I82" s="234"/>
    </row>
    <row r="83" spans="1:37" ht="13">
      <c r="B83" s="237"/>
      <c r="C83" s="218" t="str">
        <f>(C6)</f>
        <v>Toimija 2 vaate 2</v>
      </c>
      <c r="D83" s="218"/>
      <c r="E83" s="218"/>
      <c r="F83" s="249"/>
      <c r="G83" s="218" t="s">
        <v>146</v>
      </c>
      <c r="H83" s="246"/>
      <c r="I83" s="234"/>
    </row>
    <row r="84" spans="1:37" ht="13">
      <c r="B84" s="237"/>
      <c r="C84" s="218" t="str">
        <f>(C7)</f>
        <v>Toimija 2 vaate 3</v>
      </c>
      <c r="D84" s="218"/>
      <c r="E84" s="218"/>
      <c r="F84" s="249"/>
      <c r="G84" s="218" t="s">
        <v>146</v>
      </c>
      <c r="H84" s="246"/>
      <c r="I84" s="234"/>
    </row>
    <row r="85" spans="1:37" ht="13">
      <c r="B85" s="222"/>
      <c r="C85" s="218" t="str">
        <f>(C8)</f>
        <v>Toimija 2 vaate 4</v>
      </c>
      <c r="D85" s="218"/>
      <c r="E85" s="218"/>
      <c r="F85" s="249"/>
      <c r="G85" s="218" t="s">
        <v>146</v>
      </c>
      <c r="H85" s="246"/>
      <c r="I85" s="221"/>
    </row>
    <row r="86" spans="1:37" ht="13">
      <c r="B86" s="222"/>
      <c r="C86" s="218" t="str">
        <f>(C9)</f>
        <v>Toimija 2 vaate 5</v>
      </c>
      <c r="D86" s="218"/>
      <c r="E86" s="218"/>
      <c r="F86" s="249"/>
      <c r="G86" s="218" t="s">
        <v>146</v>
      </c>
      <c r="H86" s="246"/>
      <c r="I86" s="221"/>
    </row>
    <row r="87" spans="1:37" ht="12.5">
      <c r="B87" s="221"/>
      <c r="C87" s="237"/>
      <c r="D87" s="222"/>
      <c r="E87" s="222"/>
      <c r="F87" s="222"/>
      <c r="G87" s="222"/>
      <c r="H87" s="221"/>
      <c r="I87" s="221"/>
    </row>
    <row r="88" spans="1:37" ht="13">
      <c r="B88" s="218" t="str">
        <f>('Palveluntarjoajien lähtötiedot'!A9)</f>
        <v>PESULA 2</v>
      </c>
      <c r="C88" s="218" t="str">
        <f>(C5)</f>
        <v>Toimija 2 vaate 1</v>
      </c>
      <c r="D88" s="218"/>
      <c r="E88" s="218"/>
      <c r="F88" s="249"/>
      <c r="G88" s="218" t="s">
        <v>146</v>
      </c>
      <c r="H88" s="246"/>
      <c r="I88" s="221"/>
    </row>
    <row r="89" spans="1:37" ht="13">
      <c r="B89" s="221"/>
      <c r="C89" s="218" t="str">
        <f>(C6)</f>
        <v>Toimija 2 vaate 2</v>
      </c>
      <c r="D89" s="218"/>
      <c r="E89" s="218"/>
      <c r="F89" s="249"/>
      <c r="G89" s="218" t="s">
        <v>146</v>
      </c>
      <c r="H89" s="246"/>
      <c r="I89" s="222"/>
    </row>
    <row r="90" spans="1:37" ht="13">
      <c r="B90" s="237"/>
      <c r="C90" s="218" t="str">
        <f>(C7)</f>
        <v>Toimija 2 vaate 3</v>
      </c>
      <c r="D90" s="218"/>
      <c r="E90" s="218"/>
      <c r="F90" s="249"/>
      <c r="G90" s="218" t="s">
        <v>146</v>
      </c>
      <c r="H90" s="246"/>
      <c r="I90" s="222"/>
    </row>
    <row r="91" spans="1:37" ht="13">
      <c r="B91" s="237"/>
      <c r="C91" s="218" t="str">
        <f>(C8)</f>
        <v>Toimija 2 vaate 4</v>
      </c>
      <c r="D91" s="218"/>
      <c r="E91" s="218"/>
      <c r="F91" s="249"/>
      <c r="G91" s="218" t="s">
        <v>146</v>
      </c>
      <c r="H91" s="246"/>
      <c r="I91" s="222"/>
    </row>
    <row r="92" spans="1:37" ht="13">
      <c r="B92" s="222"/>
      <c r="C92" s="218" t="str">
        <f>(C9)</f>
        <v>Toimija 2 vaate 5</v>
      </c>
      <c r="D92" s="218"/>
      <c r="E92" s="218"/>
      <c r="F92" s="249"/>
      <c r="G92" s="218" t="s">
        <v>146</v>
      </c>
      <c r="H92" s="246"/>
      <c r="I92" s="221"/>
    </row>
    <row r="93" spans="1:37" ht="12.5">
      <c r="B93" s="222"/>
      <c r="C93" s="222"/>
      <c r="D93" s="222"/>
      <c r="E93" s="222"/>
      <c r="F93" s="222"/>
      <c r="G93" s="221"/>
      <c r="H93" s="221"/>
      <c r="I93" s="221"/>
    </row>
    <row r="94" spans="1:37" ht="13">
      <c r="B94" s="237" t="str">
        <f>('Palveluntarjoajien lähtötiedot'!A10)</f>
        <v>PESULA 3</v>
      </c>
      <c r="C94" s="218" t="str">
        <f>(C5)</f>
        <v>Toimija 2 vaate 1</v>
      </c>
      <c r="D94" s="222"/>
      <c r="E94" s="222"/>
      <c r="F94" s="249"/>
      <c r="G94" s="222" t="s">
        <v>146</v>
      </c>
      <c r="H94" s="246"/>
      <c r="I94" s="221"/>
    </row>
    <row r="95" spans="1:37" ht="13">
      <c r="B95" s="222"/>
      <c r="C95" s="218" t="str">
        <f>(C6)</f>
        <v>Toimija 2 vaate 2</v>
      </c>
      <c r="D95" s="222"/>
      <c r="E95" s="222"/>
      <c r="F95" s="249"/>
      <c r="G95" s="222" t="s">
        <v>146</v>
      </c>
      <c r="H95" s="246"/>
      <c r="I95" s="221"/>
    </row>
    <row r="96" spans="1:37" ht="13">
      <c r="B96" s="222"/>
      <c r="C96" s="218" t="str">
        <f>(C7)</f>
        <v>Toimija 2 vaate 3</v>
      </c>
      <c r="D96" s="222"/>
      <c r="E96" s="222"/>
      <c r="F96" s="249"/>
      <c r="G96" s="222" t="s">
        <v>146</v>
      </c>
      <c r="H96" s="246"/>
      <c r="I96" s="221"/>
    </row>
    <row r="97" spans="2:9" ht="13">
      <c r="B97" s="222"/>
      <c r="C97" s="218" t="str">
        <f>(C8)</f>
        <v>Toimija 2 vaate 4</v>
      </c>
      <c r="D97" s="222"/>
      <c r="E97" s="222"/>
      <c r="F97" s="249"/>
      <c r="G97" s="222" t="s">
        <v>146</v>
      </c>
      <c r="H97" s="246"/>
      <c r="I97" s="221"/>
    </row>
    <row r="98" spans="2:9" ht="13">
      <c r="B98" s="222"/>
      <c r="C98" s="218" t="str">
        <f>(C9)</f>
        <v>Toimija 2 vaate 5</v>
      </c>
      <c r="D98" s="222"/>
      <c r="E98" s="222"/>
      <c r="F98" s="249"/>
      <c r="G98" s="222" t="s">
        <v>146</v>
      </c>
      <c r="H98" s="246"/>
      <c r="I98" s="221"/>
    </row>
    <row r="99" spans="2:9" ht="12.5">
      <c r="B99" s="13"/>
      <c r="C99" s="13"/>
      <c r="D99" s="13"/>
      <c r="E99" s="13"/>
      <c r="F99" s="13"/>
    </row>
    <row r="100" spans="2:9" ht="12.5">
      <c r="B100" s="13"/>
      <c r="C100" s="13"/>
      <c r="D100" s="13"/>
      <c r="E100" s="13"/>
      <c r="F100" s="13"/>
    </row>
    <row r="101" spans="2:9" ht="12.5">
      <c r="B101" s="13"/>
      <c r="C101" s="13"/>
      <c r="D101" s="13"/>
      <c r="E101" s="13"/>
      <c r="F101" s="13"/>
    </row>
    <row r="102" spans="2:9" ht="12.5">
      <c r="B102" s="13"/>
      <c r="C102" s="13"/>
      <c r="D102" s="13"/>
      <c r="E102" s="13"/>
      <c r="F102" s="13"/>
    </row>
    <row r="103" spans="2:9" ht="12.5">
      <c r="B103" s="13"/>
      <c r="C103" s="13"/>
      <c r="D103" s="13"/>
      <c r="E103" s="13"/>
      <c r="F103" s="13"/>
    </row>
    <row r="104" spans="2:9" ht="12.5">
      <c r="B104" s="13"/>
      <c r="C104" s="13"/>
      <c r="D104" s="13"/>
      <c r="E104" s="13"/>
      <c r="F104" s="13"/>
    </row>
    <row r="105" spans="2:9" ht="12.5">
      <c r="B105" s="13"/>
      <c r="C105" s="13"/>
      <c r="D105" s="13"/>
      <c r="E105" s="13"/>
      <c r="F105" s="13"/>
    </row>
    <row r="106" spans="2:9" ht="12.5">
      <c r="B106" s="13"/>
      <c r="C106" s="13"/>
      <c r="D106" s="13"/>
      <c r="E106" s="13"/>
      <c r="F106" s="13"/>
    </row>
    <row r="107" spans="2:9" ht="12.5">
      <c r="B107" s="13"/>
      <c r="C107" s="13"/>
      <c r="D107" s="13"/>
      <c r="E107" s="13"/>
      <c r="F107" s="13"/>
    </row>
    <row r="108" spans="2:9" ht="12.5">
      <c r="B108" s="13"/>
      <c r="C108" s="13"/>
      <c r="D108" s="13"/>
      <c r="E108" s="13"/>
      <c r="F108" s="13"/>
    </row>
    <row r="109" spans="2:9" ht="12.5">
      <c r="B109" s="13"/>
      <c r="C109" s="13"/>
      <c r="D109" s="13"/>
      <c r="E109" s="13"/>
      <c r="F109" s="13"/>
    </row>
    <row r="110" spans="2:9" ht="12.5">
      <c r="B110" s="13"/>
      <c r="C110" s="13"/>
      <c r="D110" s="13"/>
      <c r="E110" s="13"/>
      <c r="F110" s="13"/>
    </row>
    <row r="111" spans="2:9" ht="12.5">
      <c r="B111" s="13"/>
      <c r="C111" s="13"/>
      <c r="D111" s="13"/>
      <c r="E111" s="13"/>
      <c r="F111" s="13"/>
    </row>
    <row r="112" spans="2:9" ht="12.5">
      <c r="B112" s="13"/>
      <c r="C112" s="13"/>
      <c r="D112" s="13"/>
      <c r="E112" s="13"/>
      <c r="F112" s="13"/>
    </row>
    <row r="113" spans="1:6" ht="12.5">
      <c r="B113" s="13"/>
      <c r="C113" s="13"/>
      <c r="D113" s="13"/>
      <c r="E113" s="13"/>
      <c r="F113" s="13"/>
    </row>
    <row r="114" spans="1:6" ht="12.5">
      <c r="B114" s="13"/>
      <c r="C114" s="13"/>
      <c r="D114" s="13"/>
      <c r="E114" s="13"/>
      <c r="F114" s="13"/>
    </row>
    <row r="115" spans="1:6" ht="12.5">
      <c r="B115" s="13"/>
      <c r="C115" s="13"/>
      <c r="D115" s="13"/>
      <c r="E115" s="13"/>
      <c r="F115" s="13"/>
    </row>
    <row r="116" spans="1:6" ht="12.5">
      <c r="B116" s="13"/>
      <c r="C116" s="13"/>
      <c r="D116" s="13"/>
      <c r="E116" s="13"/>
      <c r="F116" s="13"/>
    </row>
    <row r="117" spans="1:6" ht="12.5">
      <c r="B117" s="13"/>
      <c r="C117" s="13"/>
      <c r="D117" s="13"/>
      <c r="E117" s="13"/>
      <c r="F117" s="13"/>
    </row>
    <row r="118" spans="1:6" ht="12.5">
      <c r="B118" s="13"/>
      <c r="C118" s="13"/>
      <c r="D118" s="13"/>
      <c r="E118" s="13"/>
      <c r="F118" s="13"/>
    </row>
    <row r="119" spans="1:6" ht="12.5">
      <c r="B119" s="13"/>
      <c r="C119" s="13"/>
      <c r="D119" s="13"/>
      <c r="E119" s="13"/>
      <c r="F119" s="13"/>
    </row>
    <row r="120" spans="1:6" ht="12.5">
      <c r="B120" s="13"/>
      <c r="C120" s="13"/>
      <c r="D120" s="13"/>
      <c r="E120" s="13"/>
      <c r="F120" s="13"/>
    </row>
    <row r="121" spans="1:6" ht="12.5">
      <c r="B121" s="13"/>
      <c r="C121" s="13"/>
      <c r="D121" s="13"/>
      <c r="E121" s="13"/>
      <c r="F121" s="13"/>
    </row>
    <row r="122" spans="1:6" ht="12.5">
      <c r="B122" s="13"/>
      <c r="C122" s="13"/>
      <c r="D122" s="13"/>
      <c r="E122" s="13"/>
      <c r="F122" s="13"/>
    </row>
    <row r="123" spans="1:6" ht="13">
      <c r="A123" s="27"/>
      <c r="B123" s="28"/>
      <c r="C123" s="28"/>
      <c r="D123" s="28"/>
      <c r="E123" s="28"/>
      <c r="F123" s="13"/>
    </row>
    <row r="124" spans="1:6" ht="12.5">
      <c r="B124" s="13"/>
      <c r="C124" s="13"/>
      <c r="D124" s="13"/>
      <c r="E124" s="13"/>
      <c r="F124" s="13"/>
    </row>
    <row r="125" spans="1:6" ht="12.5">
      <c r="B125" s="13"/>
      <c r="C125" s="13"/>
      <c r="D125" s="13"/>
      <c r="E125" s="13"/>
      <c r="F125" s="13"/>
    </row>
    <row r="126" spans="1:6" ht="12.5">
      <c r="B126" s="13"/>
      <c r="C126" s="13"/>
      <c r="D126" s="13"/>
      <c r="E126" s="13"/>
      <c r="F126" s="13"/>
    </row>
    <row r="127" spans="1:6" ht="12.5">
      <c r="B127" s="13"/>
      <c r="C127" s="13"/>
      <c r="D127" s="13"/>
      <c r="E127" s="13"/>
      <c r="F127" s="13"/>
    </row>
    <row r="128" spans="1:6" ht="12.5">
      <c r="B128" s="13"/>
      <c r="C128" s="13"/>
      <c r="D128" s="13"/>
      <c r="E128" s="13"/>
      <c r="F128" s="13"/>
    </row>
    <row r="129" spans="2:6" ht="12.5">
      <c r="B129" s="13"/>
      <c r="C129" s="13"/>
      <c r="D129" s="13"/>
      <c r="E129" s="13"/>
      <c r="F129" s="13"/>
    </row>
    <row r="130" spans="2:6" ht="12.5">
      <c r="B130" s="13"/>
      <c r="C130" s="13"/>
      <c r="D130" s="13"/>
      <c r="E130" s="13"/>
      <c r="F130" s="13"/>
    </row>
    <row r="131" spans="2:6" ht="12.5">
      <c r="B131" s="13"/>
      <c r="C131" s="13"/>
      <c r="D131" s="13"/>
      <c r="E131" s="13"/>
      <c r="F131" s="13"/>
    </row>
    <row r="132" spans="2:6" ht="12.5">
      <c r="B132" s="13"/>
      <c r="C132" s="13"/>
      <c r="D132" s="13"/>
      <c r="E132" s="13"/>
      <c r="F132" s="13"/>
    </row>
    <row r="133" spans="2:6" ht="12.5">
      <c r="B133" s="13"/>
      <c r="C133" s="13"/>
      <c r="D133" s="13"/>
      <c r="E133" s="13"/>
      <c r="F133" s="13"/>
    </row>
    <row r="134" spans="2:6" ht="12.5">
      <c r="B134" s="13"/>
      <c r="C134" s="13"/>
      <c r="D134" s="13"/>
      <c r="E134" s="13"/>
      <c r="F134" s="13"/>
    </row>
    <row r="135" spans="2:6" ht="12.5">
      <c r="B135" s="13"/>
      <c r="C135" s="13"/>
      <c r="D135" s="13"/>
      <c r="E135" s="13"/>
      <c r="F135" s="13"/>
    </row>
    <row r="136" spans="2:6" ht="12.5">
      <c r="B136" s="13"/>
      <c r="C136" s="13"/>
      <c r="D136" s="13"/>
      <c r="E136" s="13"/>
      <c r="F136" s="13"/>
    </row>
    <row r="137" spans="2:6" ht="12.5">
      <c r="B137" s="13"/>
      <c r="C137" s="13"/>
      <c r="D137" s="13"/>
      <c r="E137" s="13"/>
      <c r="F137" s="13"/>
    </row>
    <row r="138" spans="2:6" ht="12.5">
      <c r="B138" s="13"/>
      <c r="C138" s="13"/>
      <c r="D138" s="13"/>
      <c r="E138" s="13"/>
      <c r="F138" s="13"/>
    </row>
    <row r="139" spans="2:6" ht="12.5">
      <c r="B139" s="13"/>
      <c r="C139" s="13"/>
      <c r="D139" s="13"/>
      <c r="E139" s="13"/>
      <c r="F139" s="13"/>
    </row>
    <row r="140" spans="2:6" ht="12.5">
      <c r="B140" s="13"/>
      <c r="C140" s="13"/>
      <c r="D140" s="13"/>
      <c r="E140" s="13"/>
      <c r="F140" s="13"/>
    </row>
    <row r="141" spans="2:6" ht="12.5">
      <c r="B141" s="13"/>
      <c r="C141" s="13"/>
      <c r="D141" s="13"/>
      <c r="E141" s="13"/>
      <c r="F141" s="13"/>
    </row>
    <row r="142" spans="2:6" ht="12.5">
      <c r="B142" s="13"/>
      <c r="C142" s="13"/>
      <c r="D142" s="13"/>
      <c r="E142" s="13"/>
      <c r="F142" s="13"/>
    </row>
    <row r="143" spans="2:6" ht="12.5">
      <c r="B143" s="13"/>
      <c r="C143" s="13"/>
      <c r="D143" s="13"/>
      <c r="E143" s="13"/>
      <c r="F143" s="13"/>
    </row>
    <row r="144" spans="2:6" ht="12.5">
      <c r="B144" s="13"/>
      <c r="C144" s="13"/>
      <c r="D144" s="13"/>
      <c r="E144" s="13"/>
      <c r="F144" s="13"/>
    </row>
    <row r="145" spans="2:6" ht="12.5">
      <c r="B145" s="13"/>
      <c r="C145" s="13"/>
      <c r="D145" s="13"/>
      <c r="E145" s="13"/>
      <c r="F145" s="13"/>
    </row>
    <row r="146" spans="2:6" ht="12.5">
      <c r="B146" s="13"/>
      <c r="C146" s="13"/>
      <c r="D146" s="13"/>
      <c r="E146" s="13"/>
      <c r="F146" s="13"/>
    </row>
    <row r="147" spans="2:6" ht="12.5">
      <c r="B147" s="13"/>
      <c r="C147" s="13"/>
      <c r="D147" s="13"/>
      <c r="E147" s="13"/>
      <c r="F147" s="13"/>
    </row>
    <row r="148" spans="2:6" ht="12.5">
      <c r="B148" s="13"/>
      <c r="C148" s="13"/>
      <c r="D148" s="13"/>
      <c r="E148" s="13"/>
      <c r="F148" s="13"/>
    </row>
    <row r="149" spans="2:6" ht="12.5">
      <c r="B149" s="13"/>
      <c r="C149" s="13"/>
      <c r="D149" s="13"/>
      <c r="E149" s="13"/>
      <c r="F149" s="13"/>
    </row>
    <row r="150" spans="2:6" ht="12.5">
      <c r="B150" s="13"/>
      <c r="C150" s="13"/>
      <c r="D150" s="13"/>
      <c r="E150" s="13"/>
      <c r="F150" s="13"/>
    </row>
    <row r="151" spans="2:6" ht="12.5">
      <c r="B151" s="13"/>
      <c r="C151" s="13"/>
      <c r="D151" s="13"/>
      <c r="E151" s="13"/>
      <c r="F151" s="13"/>
    </row>
    <row r="152" spans="2:6" ht="12.5">
      <c r="B152" s="13"/>
      <c r="C152" s="13"/>
      <c r="D152" s="13"/>
      <c r="E152" s="13"/>
      <c r="F152" s="13"/>
    </row>
    <row r="153" spans="2:6" ht="12.5">
      <c r="B153" s="13"/>
      <c r="C153" s="13"/>
      <c r="D153" s="13"/>
      <c r="E153" s="13"/>
      <c r="F153" s="13"/>
    </row>
    <row r="154" spans="2:6" ht="12.5">
      <c r="B154" s="13"/>
      <c r="C154" s="13"/>
      <c r="D154" s="13"/>
      <c r="E154" s="13"/>
      <c r="F154" s="13"/>
    </row>
    <row r="155" spans="2:6" ht="12.5">
      <c r="B155" s="13"/>
      <c r="C155" s="13"/>
      <c r="D155" s="13"/>
      <c r="E155" s="13"/>
      <c r="F155" s="13"/>
    </row>
    <row r="156" spans="2:6" ht="12.5">
      <c r="B156" s="13"/>
      <c r="C156" s="13"/>
      <c r="D156" s="13"/>
      <c r="E156" s="13"/>
      <c r="F156" s="13"/>
    </row>
    <row r="157" spans="2:6" ht="12.5">
      <c r="B157" s="13"/>
      <c r="C157" s="13"/>
      <c r="D157" s="13"/>
      <c r="E157" s="13"/>
      <c r="F157" s="13"/>
    </row>
    <row r="158" spans="2:6" ht="12.5">
      <c r="B158" s="13"/>
      <c r="C158" s="13"/>
      <c r="D158" s="13"/>
      <c r="E158" s="13"/>
      <c r="F158" s="13"/>
    </row>
    <row r="159" spans="2:6" ht="12.5">
      <c r="B159" s="13"/>
      <c r="C159" s="13"/>
      <c r="D159" s="13"/>
      <c r="E159" s="13"/>
      <c r="F159" s="13"/>
    </row>
    <row r="160" spans="2:6" ht="12.5">
      <c r="B160" s="13"/>
      <c r="C160" s="13"/>
      <c r="D160" s="13"/>
      <c r="E160" s="13"/>
      <c r="F160" s="13"/>
    </row>
    <row r="161" spans="2:6" ht="12.5">
      <c r="B161" s="13"/>
      <c r="C161" s="13"/>
      <c r="D161" s="13"/>
      <c r="E161" s="13"/>
      <c r="F161" s="13"/>
    </row>
    <row r="162" spans="2:6" ht="12.5">
      <c r="B162" s="13"/>
      <c r="C162" s="13"/>
      <c r="D162" s="13"/>
      <c r="E162" s="13"/>
      <c r="F162" s="13"/>
    </row>
    <row r="163" spans="2:6" ht="12.5">
      <c r="B163" s="13"/>
      <c r="C163" s="13"/>
      <c r="D163" s="13"/>
      <c r="E163" s="13"/>
      <c r="F163" s="13"/>
    </row>
    <row r="164" spans="2:6" ht="12.5">
      <c r="B164" s="13"/>
      <c r="C164" s="13"/>
      <c r="D164" s="13"/>
      <c r="E164" s="13"/>
      <c r="F164" s="13"/>
    </row>
    <row r="165" spans="2:6" ht="12.5">
      <c r="B165" s="13"/>
      <c r="C165" s="13"/>
      <c r="D165" s="13"/>
      <c r="E165" s="13"/>
      <c r="F165" s="13"/>
    </row>
    <row r="166" spans="2:6" ht="12.5">
      <c r="B166" s="13"/>
      <c r="C166" s="13"/>
      <c r="D166" s="13"/>
      <c r="E166" s="13"/>
      <c r="F166" s="13"/>
    </row>
    <row r="167" spans="2:6" ht="12.5">
      <c r="B167" s="13"/>
      <c r="C167" s="13"/>
      <c r="D167" s="13"/>
      <c r="E167" s="13"/>
      <c r="F167" s="13"/>
    </row>
    <row r="168" spans="2:6" ht="12.5">
      <c r="B168" s="13"/>
      <c r="C168" s="13"/>
      <c r="D168" s="13"/>
      <c r="E168" s="13"/>
      <c r="F168" s="13"/>
    </row>
    <row r="169" spans="2:6" ht="12.5">
      <c r="B169" s="13"/>
      <c r="C169" s="13"/>
      <c r="D169" s="13"/>
      <c r="E169" s="13"/>
      <c r="F169" s="13"/>
    </row>
    <row r="170" spans="2:6" ht="12.5">
      <c r="B170" s="13"/>
      <c r="C170" s="13"/>
      <c r="D170" s="13"/>
      <c r="E170" s="13"/>
      <c r="F170" s="13"/>
    </row>
    <row r="171" spans="2:6" ht="12.5">
      <c r="B171" s="13"/>
      <c r="C171" s="13"/>
      <c r="D171" s="13"/>
      <c r="E171" s="13"/>
      <c r="F171" s="13"/>
    </row>
    <row r="172" spans="2:6" ht="12.5">
      <c r="B172" s="13"/>
      <c r="C172" s="13"/>
      <c r="D172" s="13"/>
      <c r="E172" s="13"/>
      <c r="F172" s="13"/>
    </row>
    <row r="173" spans="2:6" ht="12.5">
      <c r="B173" s="13"/>
      <c r="C173" s="13"/>
      <c r="D173" s="13"/>
      <c r="E173" s="13"/>
      <c r="F173" s="13"/>
    </row>
    <row r="174" spans="2:6" ht="12.5">
      <c r="B174" s="13"/>
      <c r="C174" s="13"/>
      <c r="D174" s="13"/>
      <c r="E174" s="13"/>
      <c r="F174" s="13"/>
    </row>
    <row r="175" spans="2:6" ht="12.5">
      <c r="B175" s="13"/>
      <c r="C175" s="13"/>
      <c r="D175" s="13"/>
      <c r="E175" s="13"/>
      <c r="F175" s="13"/>
    </row>
    <row r="176" spans="2:6" ht="12.5">
      <c r="B176" s="13"/>
      <c r="C176" s="13"/>
      <c r="D176" s="13"/>
      <c r="E176" s="13"/>
      <c r="F176" s="13"/>
    </row>
    <row r="177" spans="2:6" ht="12.5">
      <c r="B177" s="13"/>
      <c r="C177" s="13"/>
      <c r="D177" s="13"/>
      <c r="E177" s="13"/>
      <c r="F177" s="13"/>
    </row>
    <row r="178" spans="2:6" ht="12.5">
      <c r="B178" s="13"/>
      <c r="C178" s="13"/>
      <c r="D178" s="13"/>
      <c r="E178" s="13"/>
      <c r="F178" s="13"/>
    </row>
    <row r="179" spans="2:6" ht="12.5">
      <c r="B179" s="13"/>
      <c r="C179" s="13"/>
      <c r="D179" s="13"/>
      <c r="E179" s="13"/>
      <c r="F179" s="13"/>
    </row>
    <row r="180" spans="2:6" ht="12.5">
      <c r="B180" s="13"/>
      <c r="C180" s="13"/>
      <c r="D180" s="13"/>
      <c r="E180" s="13"/>
      <c r="F180" s="13"/>
    </row>
    <row r="181" spans="2:6" ht="12.5">
      <c r="B181" s="13"/>
      <c r="C181" s="13"/>
      <c r="D181" s="13"/>
      <c r="E181" s="13"/>
      <c r="F181" s="13"/>
    </row>
    <row r="182" spans="2:6" ht="12.5">
      <c r="B182" s="13"/>
      <c r="C182" s="13"/>
      <c r="D182" s="13"/>
      <c r="E182" s="13"/>
      <c r="F182" s="13"/>
    </row>
    <row r="183" spans="2:6" ht="12.5">
      <c r="B183" s="13"/>
      <c r="C183" s="13"/>
      <c r="D183" s="13"/>
      <c r="E183" s="13"/>
      <c r="F183" s="13"/>
    </row>
    <row r="184" spans="2:6" ht="12.5">
      <c r="B184" s="13"/>
      <c r="C184" s="13"/>
      <c r="D184" s="13"/>
      <c r="E184" s="13"/>
      <c r="F184" s="13"/>
    </row>
    <row r="185" spans="2:6" ht="12.5">
      <c r="B185" s="13"/>
      <c r="C185" s="13"/>
      <c r="D185" s="13"/>
      <c r="E185" s="13"/>
      <c r="F185" s="13"/>
    </row>
    <row r="186" spans="2:6" ht="12.5">
      <c r="B186" s="13"/>
      <c r="C186" s="13"/>
      <c r="D186" s="13"/>
      <c r="E186" s="13"/>
      <c r="F186" s="13"/>
    </row>
    <row r="187" spans="2:6" ht="12.5">
      <c r="B187" s="13"/>
      <c r="C187" s="13"/>
      <c r="D187" s="13"/>
      <c r="E187" s="13"/>
      <c r="F187" s="13"/>
    </row>
    <row r="188" spans="2:6" ht="12.5">
      <c r="B188" s="13"/>
      <c r="C188" s="13"/>
      <c r="D188" s="13"/>
      <c r="E188" s="13"/>
      <c r="F188" s="13"/>
    </row>
    <row r="189" spans="2:6" ht="12.5">
      <c r="B189" s="13"/>
      <c r="C189" s="13"/>
      <c r="D189" s="13"/>
      <c r="E189" s="13"/>
      <c r="F189" s="13"/>
    </row>
    <row r="190" spans="2:6" ht="12.5">
      <c r="B190" s="13"/>
      <c r="C190" s="13"/>
      <c r="D190" s="13"/>
      <c r="E190" s="13"/>
      <c r="F190" s="13"/>
    </row>
    <row r="191" spans="2:6" ht="12.5">
      <c r="B191" s="13"/>
      <c r="C191" s="13"/>
      <c r="D191" s="13"/>
      <c r="E191" s="13"/>
      <c r="F191" s="13"/>
    </row>
    <row r="192" spans="2:6" ht="12.5">
      <c r="B192" s="13"/>
      <c r="C192" s="13"/>
      <c r="D192" s="13"/>
      <c r="E192" s="13"/>
      <c r="F192" s="13"/>
    </row>
    <row r="193" spans="2:6" ht="12.5">
      <c r="B193" s="13"/>
      <c r="C193" s="13"/>
      <c r="D193" s="13"/>
      <c r="E193" s="13"/>
      <c r="F193" s="13"/>
    </row>
    <row r="194" spans="2:6" ht="12.5">
      <c r="B194" s="13"/>
      <c r="C194" s="13"/>
      <c r="D194" s="13"/>
      <c r="E194" s="13"/>
      <c r="F194" s="13"/>
    </row>
    <row r="195" spans="2:6" ht="12.5">
      <c r="B195" s="13"/>
      <c r="C195" s="13"/>
      <c r="D195" s="13"/>
      <c r="E195" s="13"/>
      <c r="F195" s="13"/>
    </row>
    <row r="196" spans="2:6" ht="12.5">
      <c r="B196" s="13"/>
      <c r="C196" s="13"/>
      <c r="D196" s="13"/>
      <c r="E196" s="13"/>
      <c r="F196" s="13"/>
    </row>
    <row r="197" spans="2:6" ht="12.5">
      <c r="B197" s="13"/>
      <c r="C197" s="13"/>
      <c r="D197" s="13"/>
      <c r="E197" s="13"/>
      <c r="F197" s="13"/>
    </row>
    <row r="198" spans="2:6" ht="12.5">
      <c r="B198" s="13"/>
      <c r="C198" s="13"/>
      <c r="D198" s="13"/>
      <c r="E198" s="13"/>
      <c r="F198" s="13"/>
    </row>
    <row r="199" spans="2:6" ht="12.5">
      <c r="B199" s="13"/>
      <c r="C199" s="13"/>
      <c r="D199" s="13"/>
      <c r="E199" s="13"/>
      <c r="F199" s="13"/>
    </row>
    <row r="200" spans="2:6" ht="12.5">
      <c r="B200" s="13"/>
      <c r="C200" s="13"/>
      <c r="D200" s="13"/>
      <c r="E200" s="13"/>
      <c r="F200" s="13"/>
    </row>
    <row r="201" spans="2:6" ht="12.5">
      <c r="B201" s="13"/>
      <c r="C201" s="13"/>
      <c r="D201" s="13"/>
      <c r="E201" s="13"/>
      <c r="F201" s="13"/>
    </row>
    <row r="202" spans="2:6" ht="12.5">
      <c r="B202" s="13"/>
      <c r="C202" s="13"/>
      <c r="D202" s="13"/>
      <c r="E202" s="13"/>
      <c r="F202" s="13"/>
    </row>
    <row r="203" spans="2:6" ht="12.5">
      <c r="B203" s="13"/>
      <c r="C203" s="13"/>
      <c r="D203" s="13"/>
      <c r="E203" s="13"/>
      <c r="F203" s="13"/>
    </row>
    <row r="204" spans="2:6" ht="12.5">
      <c r="B204" s="13"/>
      <c r="C204" s="13"/>
      <c r="D204" s="13"/>
      <c r="E204" s="13"/>
      <c r="F204" s="13"/>
    </row>
    <row r="205" spans="2:6" ht="12.5">
      <c r="B205" s="13"/>
      <c r="C205" s="13"/>
      <c r="D205" s="13"/>
      <c r="E205" s="13"/>
      <c r="F205" s="13"/>
    </row>
    <row r="206" spans="2:6" ht="12.5">
      <c r="B206" s="13"/>
      <c r="C206" s="13"/>
      <c r="D206" s="13"/>
      <c r="E206" s="13"/>
      <c r="F206" s="13"/>
    </row>
    <row r="207" spans="2:6" ht="12.5">
      <c r="B207" s="13"/>
      <c r="C207" s="13"/>
      <c r="D207" s="13"/>
      <c r="E207" s="13"/>
      <c r="F207" s="13"/>
    </row>
    <row r="208" spans="2:6" ht="12.5">
      <c r="B208" s="13"/>
      <c r="C208" s="13"/>
      <c r="D208" s="13"/>
      <c r="E208" s="13"/>
      <c r="F208" s="13"/>
    </row>
    <row r="209" spans="2:6" ht="12.5">
      <c r="B209" s="13"/>
      <c r="C209" s="13"/>
      <c r="D209" s="13"/>
      <c r="E209" s="13"/>
      <c r="F209" s="13"/>
    </row>
    <row r="210" spans="2:6" ht="12.5">
      <c r="B210" s="13"/>
      <c r="C210" s="13"/>
      <c r="D210" s="13"/>
      <c r="E210" s="13"/>
      <c r="F210" s="13"/>
    </row>
    <row r="211" spans="2:6" ht="12.5">
      <c r="B211" s="13"/>
      <c r="C211" s="13"/>
      <c r="D211" s="13"/>
      <c r="E211" s="13"/>
      <c r="F211" s="13"/>
    </row>
    <row r="212" spans="2:6" ht="12.5">
      <c r="B212" s="13"/>
      <c r="C212" s="13"/>
      <c r="D212" s="13"/>
      <c r="E212" s="13"/>
      <c r="F212" s="13"/>
    </row>
    <row r="213" spans="2:6" ht="12.5">
      <c r="B213" s="13"/>
      <c r="C213" s="13"/>
      <c r="D213" s="13"/>
      <c r="E213" s="13"/>
      <c r="F213" s="13"/>
    </row>
    <row r="214" spans="2:6" ht="12.5">
      <c r="B214" s="13"/>
      <c r="C214" s="13"/>
      <c r="D214" s="13"/>
      <c r="E214" s="13"/>
      <c r="F214" s="13"/>
    </row>
    <row r="215" spans="2:6" ht="12.5">
      <c r="B215" s="13"/>
      <c r="C215" s="13"/>
      <c r="D215" s="13"/>
      <c r="E215" s="13"/>
      <c r="F215" s="13"/>
    </row>
    <row r="216" spans="2:6" ht="12.5">
      <c r="B216" s="13"/>
      <c r="C216" s="13"/>
      <c r="D216" s="13"/>
      <c r="E216" s="13"/>
      <c r="F216" s="13"/>
    </row>
    <row r="217" spans="2:6" ht="12.5">
      <c r="B217" s="13"/>
      <c r="C217" s="13"/>
      <c r="D217" s="13"/>
      <c r="E217" s="13"/>
      <c r="F217" s="13"/>
    </row>
    <row r="218" spans="2:6" ht="12.5">
      <c r="B218" s="13"/>
      <c r="C218" s="13"/>
      <c r="D218" s="13"/>
      <c r="E218" s="13"/>
      <c r="F218" s="13"/>
    </row>
    <row r="219" spans="2:6" ht="12.5">
      <c r="B219" s="13"/>
      <c r="C219" s="13"/>
      <c r="D219" s="13"/>
      <c r="E219" s="13"/>
      <c r="F219" s="13"/>
    </row>
    <row r="220" spans="2:6" ht="12.5">
      <c r="B220" s="13"/>
      <c r="C220" s="13"/>
      <c r="D220" s="13"/>
      <c r="E220" s="13"/>
      <c r="F220" s="13"/>
    </row>
    <row r="221" spans="2:6" ht="12.5">
      <c r="B221" s="13"/>
      <c r="C221" s="13"/>
      <c r="D221" s="13"/>
      <c r="E221" s="13"/>
      <c r="F221" s="13"/>
    </row>
    <row r="222" spans="2:6" ht="12.5">
      <c r="B222" s="13"/>
      <c r="C222" s="13"/>
      <c r="D222" s="13"/>
      <c r="E222" s="13"/>
      <c r="F222" s="13"/>
    </row>
    <row r="223" spans="2:6" ht="12.5">
      <c r="B223" s="13"/>
      <c r="C223" s="13"/>
      <c r="D223" s="13"/>
      <c r="E223" s="13"/>
      <c r="F223" s="13"/>
    </row>
    <row r="224" spans="2:6" ht="12.5">
      <c r="B224" s="13"/>
      <c r="C224" s="13"/>
      <c r="D224" s="13"/>
      <c r="E224" s="13"/>
      <c r="F224" s="13"/>
    </row>
    <row r="225" spans="2:6" ht="12.5">
      <c r="B225" s="13"/>
      <c r="C225" s="13"/>
      <c r="D225" s="13"/>
      <c r="E225" s="13"/>
      <c r="F225" s="13"/>
    </row>
    <row r="226" spans="2:6" ht="12.5">
      <c r="B226" s="13"/>
      <c r="C226" s="13"/>
      <c r="D226" s="13"/>
      <c r="E226" s="13"/>
      <c r="F226" s="13"/>
    </row>
    <row r="227" spans="2:6" ht="12.5">
      <c r="B227" s="13"/>
      <c r="C227" s="13"/>
      <c r="D227" s="13"/>
      <c r="E227" s="13"/>
      <c r="F227" s="13"/>
    </row>
    <row r="228" spans="2:6" ht="12.5">
      <c r="B228" s="13"/>
      <c r="C228" s="13"/>
      <c r="D228" s="13"/>
      <c r="E228" s="13"/>
      <c r="F228" s="13"/>
    </row>
    <row r="229" spans="2:6" ht="12.5">
      <c r="B229" s="13"/>
      <c r="C229" s="13"/>
      <c r="D229" s="13"/>
      <c r="E229" s="13"/>
      <c r="F229" s="13"/>
    </row>
    <row r="230" spans="2:6" ht="12.5">
      <c r="B230" s="13"/>
      <c r="C230" s="13"/>
      <c r="D230" s="13"/>
      <c r="E230" s="13"/>
      <c r="F230" s="13"/>
    </row>
    <row r="231" spans="2:6" ht="12.5">
      <c r="B231" s="13"/>
      <c r="C231" s="13"/>
      <c r="D231" s="13"/>
      <c r="E231" s="13"/>
      <c r="F231" s="13"/>
    </row>
    <row r="232" spans="2:6" ht="12.5">
      <c r="B232" s="13"/>
      <c r="C232" s="13"/>
      <c r="D232" s="13"/>
      <c r="E232" s="13"/>
      <c r="F232" s="13"/>
    </row>
    <row r="233" spans="2:6" ht="12.5">
      <c r="B233" s="13"/>
      <c r="C233" s="13"/>
      <c r="D233" s="13"/>
      <c r="E233" s="13"/>
      <c r="F233" s="13"/>
    </row>
    <row r="234" spans="2:6" ht="12.5">
      <c r="B234" s="13"/>
      <c r="C234" s="13"/>
      <c r="D234" s="13"/>
      <c r="E234" s="13"/>
      <c r="F234" s="13"/>
    </row>
    <row r="235" spans="2:6" ht="12.5">
      <c r="B235" s="13"/>
      <c r="C235" s="13"/>
      <c r="D235" s="13"/>
      <c r="E235" s="13"/>
      <c r="F235" s="13"/>
    </row>
    <row r="236" spans="2:6" ht="12.5">
      <c r="B236" s="13"/>
      <c r="C236" s="13"/>
      <c r="D236" s="13"/>
      <c r="E236" s="13"/>
      <c r="F236" s="13"/>
    </row>
    <row r="237" spans="2:6" ht="12.5">
      <c r="B237" s="13"/>
      <c r="C237" s="13"/>
      <c r="D237" s="13"/>
      <c r="E237" s="13"/>
      <c r="F237" s="13"/>
    </row>
    <row r="238" spans="2:6" ht="12.5">
      <c r="B238" s="13"/>
      <c r="C238" s="13"/>
      <c r="D238" s="13"/>
      <c r="E238" s="13"/>
      <c r="F238" s="13"/>
    </row>
    <row r="239" spans="2:6" ht="12.5">
      <c r="B239" s="13"/>
      <c r="C239" s="13"/>
      <c r="D239" s="13"/>
      <c r="E239" s="13"/>
      <c r="F239" s="13"/>
    </row>
    <row r="240" spans="2:6" ht="12.5">
      <c r="B240" s="13"/>
      <c r="C240" s="13"/>
      <c r="D240" s="13"/>
      <c r="E240" s="13"/>
      <c r="F240" s="13"/>
    </row>
    <row r="241" spans="2:6" ht="12.5">
      <c r="B241" s="13"/>
      <c r="C241" s="13"/>
      <c r="D241" s="13"/>
      <c r="E241" s="13"/>
      <c r="F241" s="13"/>
    </row>
    <row r="242" spans="2:6" ht="12.5">
      <c r="B242" s="13"/>
      <c r="C242" s="13"/>
      <c r="D242" s="13"/>
      <c r="E242" s="13"/>
      <c r="F242" s="13"/>
    </row>
    <row r="243" spans="2:6" ht="12.5">
      <c r="B243" s="13"/>
      <c r="C243" s="13"/>
      <c r="D243" s="13"/>
      <c r="E243" s="13"/>
      <c r="F243" s="13"/>
    </row>
    <row r="244" spans="2:6" ht="12.5">
      <c r="B244" s="13"/>
      <c r="C244" s="13"/>
      <c r="D244" s="13"/>
      <c r="E244" s="13"/>
      <c r="F244" s="13"/>
    </row>
    <row r="245" spans="2:6" ht="12.5">
      <c r="B245" s="13"/>
      <c r="C245" s="13"/>
      <c r="D245" s="13"/>
      <c r="E245" s="13"/>
      <c r="F245" s="13"/>
    </row>
    <row r="246" spans="2:6" ht="12.5">
      <c r="B246" s="13"/>
      <c r="C246" s="13"/>
      <c r="D246" s="13"/>
      <c r="E246" s="13"/>
      <c r="F246" s="13"/>
    </row>
    <row r="247" spans="2:6" ht="12.5">
      <c r="B247" s="13"/>
      <c r="C247" s="13"/>
      <c r="D247" s="13"/>
      <c r="E247" s="13"/>
      <c r="F247" s="13"/>
    </row>
    <row r="248" spans="2:6" ht="12.5">
      <c r="B248" s="13"/>
      <c r="C248" s="13"/>
      <c r="D248" s="13"/>
      <c r="E248" s="13"/>
      <c r="F248" s="13"/>
    </row>
    <row r="249" spans="2:6" ht="12.5">
      <c r="B249" s="13"/>
      <c r="C249" s="13"/>
      <c r="D249" s="13"/>
      <c r="E249" s="13"/>
      <c r="F249" s="13"/>
    </row>
    <row r="250" spans="2:6" ht="12.5">
      <c r="B250" s="13"/>
      <c r="C250" s="13"/>
      <c r="D250" s="13"/>
      <c r="E250" s="13"/>
      <c r="F250" s="13"/>
    </row>
    <row r="251" spans="2:6" ht="12.5">
      <c r="B251" s="13"/>
      <c r="C251" s="13"/>
      <c r="D251" s="13"/>
      <c r="E251" s="13"/>
      <c r="F251" s="13"/>
    </row>
    <row r="252" spans="2:6" ht="12.5">
      <c r="B252" s="13"/>
      <c r="C252" s="13"/>
      <c r="D252" s="13"/>
      <c r="E252" s="13"/>
      <c r="F252" s="13"/>
    </row>
    <row r="253" spans="2:6" ht="12.5">
      <c r="B253" s="13"/>
      <c r="C253" s="13"/>
      <c r="D253" s="13"/>
      <c r="E253" s="13"/>
      <c r="F253" s="13"/>
    </row>
    <row r="254" spans="2:6" ht="12.5">
      <c r="B254" s="13"/>
      <c r="C254" s="13"/>
      <c r="D254" s="13"/>
      <c r="E254" s="13"/>
      <c r="F254" s="13"/>
    </row>
    <row r="255" spans="2:6" ht="12.5">
      <c r="B255" s="13"/>
      <c r="C255" s="13"/>
      <c r="D255" s="13"/>
      <c r="E255" s="13"/>
      <c r="F255" s="13"/>
    </row>
    <row r="256" spans="2:6" ht="12.5">
      <c r="B256" s="13"/>
      <c r="C256" s="13"/>
      <c r="D256" s="13"/>
      <c r="E256" s="13"/>
      <c r="F256" s="13"/>
    </row>
    <row r="257" spans="2:6" ht="12.5">
      <c r="B257" s="13"/>
      <c r="C257" s="13"/>
      <c r="D257" s="13"/>
      <c r="E257" s="13"/>
      <c r="F257" s="13"/>
    </row>
    <row r="258" spans="2:6" ht="12.5">
      <c r="B258" s="13"/>
      <c r="C258" s="13"/>
      <c r="D258" s="13"/>
      <c r="E258" s="13"/>
      <c r="F258" s="13"/>
    </row>
    <row r="259" spans="2:6" ht="12.5">
      <c r="B259" s="13"/>
      <c r="C259" s="13"/>
      <c r="D259" s="13"/>
      <c r="E259" s="13"/>
      <c r="F259" s="13"/>
    </row>
    <row r="260" spans="2:6" ht="12.5">
      <c r="B260" s="13"/>
      <c r="C260" s="13"/>
      <c r="D260" s="13"/>
      <c r="E260" s="13"/>
      <c r="F260" s="13"/>
    </row>
    <row r="261" spans="2:6" ht="12.5">
      <c r="B261" s="13"/>
      <c r="C261" s="13"/>
      <c r="D261" s="13"/>
      <c r="E261" s="13"/>
      <c r="F261" s="13"/>
    </row>
    <row r="262" spans="2:6" ht="12.5">
      <c r="B262" s="13"/>
      <c r="C262" s="13"/>
      <c r="D262" s="13"/>
      <c r="E262" s="13"/>
      <c r="F262" s="13"/>
    </row>
    <row r="263" spans="2:6" ht="12.5">
      <c r="B263" s="13"/>
      <c r="C263" s="13"/>
      <c r="D263" s="13"/>
      <c r="E263" s="13"/>
      <c r="F263" s="13"/>
    </row>
    <row r="264" spans="2:6" ht="12.5">
      <c r="B264" s="13"/>
      <c r="C264" s="13"/>
      <c r="D264" s="13"/>
      <c r="E264" s="13"/>
      <c r="F264" s="13"/>
    </row>
    <row r="265" spans="2:6" ht="12.5">
      <c r="B265" s="13"/>
      <c r="C265" s="13"/>
      <c r="D265" s="13"/>
      <c r="E265" s="13"/>
      <c r="F265" s="13"/>
    </row>
    <row r="266" spans="2:6" ht="12.5">
      <c r="B266" s="13"/>
      <c r="C266" s="13"/>
      <c r="D266" s="13"/>
      <c r="E266" s="13"/>
      <c r="F266" s="13"/>
    </row>
    <row r="267" spans="2:6" ht="12.5">
      <c r="B267" s="13"/>
      <c r="C267" s="13"/>
      <c r="D267" s="13"/>
      <c r="E267" s="13"/>
      <c r="F267" s="13"/>
    </row>
    <row r="268" spans="2:6" ht="12.5">
      <c r="B268" s="13"/>
      <c r="C268" s="13"/>
      <c r="D268" s="13"/>
      <c r="E268" s="13"/>
      <c r="F268" s="13"/>
    </row>
    <row r="269" spans="2:6" ht="12.5">
      <c r="B269" s="13"/>
      <c r="C269" s="13"/>
      <c r="D269" s="13"/>
      <c r="E269" s="13"/>
      <c r="F269" s="13"/>
    </row>
    <row r="270" spans="2:6" ht="12.5">
      <c r="B270" s="13"/>
      <c r="C270" s="13"/>
      <c r="D270" s="13"/>
      <c r="E270" s="13"/>
      <c r="F270" s="13"/>
    </row>
    <row r="271" spans="2:6" ht="12.5">
      <c r="B271" s="13"/>
      <c r="C271" s="13"/>
      <c r="D271" s="13"/>
      <c r="E271" s="13"/>
      <c r="F271" s="13"/>
    </row>
    <row r="272" spans="2:6" ht="12.5">
      <c r="B272" s="13"/>
      <c r="C272" s="13"/>
      <c r="D272" s="13"/>
      <c r="E272" s="13"/>
      <c r="F272" s="13"/>
    </row>
    <row r="273" spans="2:6" ht="12.5">
      <c r="B273" s="13"/>
      <c r="C273" s="13"/>
      <c r="D273" s="13"/>
      <c r="E273" s="13"/>
      <c r="F273" s="13"/>
    </row>
    <row r="274" spans="2:6" ht="12.5">
      <c r="B274" s="13"/>
      <c r="C274" s="13"/>
      <c r="D274" s="13"/>
      <c r="E274" s="13"/>
      <c r="F274" s="13"/>
    </row>
    <row r="275" spans="2:6" ht="12.5">
      <c r="B275" s="13"/>
      <c r="C275" s="13"/>
      <c r="D275" s="13"/>
      <c r="E275" s="13"/>
      <c r="F275" s="13"/>
    </row>
    <row r="276" spans="2:6" ht="12.5">
      <c r="B276" s="13"/>
      <c r="C276" s="13"/>
      <c r="D276" s="13"/>
      <c r="E276" s="13"/>
      <c r="F276" s="13"/>
    </row>
    <row r="277" spans="2:6" ht="12.5">
      <c r="B277" s="13"/>
      <c r="C277" s="13"/>
      <c r="D277" s="13"/>
      <c r="E277" s="13"/>
      <c r="F277" s="13"/>
    </row>
    <row r="278" spans="2:6" ht="12.5">
      <c r="B278" s="13"/>
      <c r="C278" s="13"/>
      <c r="D278" s="13"/>
      <c r="E278" s="13"/>
      <c r="F278" s="13"/>
    </row>
    <row r="279" spans="2:6" ht="12.5">
      <c r="B279" s="13"/>
      <c r="C279" s="13"/>
      <c r="D279" s="13"/>
      <c r="E279" s="13"/>
      <c r="F279" s="13"/>
    </row>
    <row r="280" spans="2:6" ht="12.5">
      <c r="B280" s="13"/>
      <c r="C280" s="13"/>
      <c r="D280" s="13"/>
      <c r="E280" s="13"/>
      <c r="F280" s="13"/>
    </row>
    <row r="281" spans="2:6" ht="12.5">
      <c r="B281" s="13"/>
      <c r="C281" s="13"/>
      <c r="D281" s="13"/>
      <c r="E281" s="13"/>
      <c r="F281" s="13"/>
    </row>
    <row r="282" spans="2:6" ht="12.5">
      <c r="B282" s="13"/>
      <c r="C282" s="13"/>
      <c r="D282" s="13"/>
      <c r="E282" s="13"/>
      <c r="F282" s="13"/>
    </row>
    <row r="283" spans="2:6" ht="12.5">
      <c r="B283" s="13"/>
      <c r="C283" s="13"/>
      <c r="D283" s="13"/>
      <c r="E283" s="13"/>
      <c r="F283" s="13"/>
    </row>
    <row r="284" spans="2:6" ht="12.5">
      <c r="B284" s="13"/>
      <c r="C284" s="13"/>
      <c r="D284" s="13"/>
      <c r="E284" s="13"/>
      <c r="F284" s="13"/>
    </row>
    <row r="285" spans="2:6" ht="12.5">
      <c r="B285" s="13"/>
      <c r="C285" s="13"/>
      <c r="D285" s="13"/>
      <c r="E285" s="13"/>
      <c r="F285" s="13"/>
    </row>
    <row r="286" spans="2:6" ht="12.5">
      <c r="B286" s="13"/>
      <c r="C286" s="13"/>
      <c r="D286" s="13"/>
      <c r="E286" s="13"/>
      <c r="F286" s="13"/>
    </row>
    <row r="287" spans="2:6" ht="12.5">
      <c r="B287" s="13"/>
      <c r="C287" s="13"/>
      <c r="D287" s="13"/>
      <c r="E287" s="13"/>
      <c r="F287" s="13"/>
    </row>
    <row r="288" spans="2:6" ht="12.5">
      <c r="B288" s="13"/>
      <c r="C288" s="13"/>
      <c r="D288" s="13"/>
      <c r="E288" s="13"/>
      <c r="F288" s="13"/>
    </row>
    <row r="289" spans="2:6" ht="12.5">
      <c r="B289" s="13"/>
      <c r="C289" s="13"/>
      <c r="D289" s="13"/>
      <c r="E289" s="13"/>
      <c r="F289" s="13"/>
    </row>
    <row r="290" spans="2:6" ht="12.5">
      <c r="B290" s="13"/>
      <c r="C290" s="13"/>
      <c r="D290" s="13"/>
      <c r="E290" s="13"/>
      <c r="F290" s="13"/>
    </row>
    <row r="291" spans="2:6" ht="12.5">
      <c r="B291" s="13"/>
      <c r="C291" s="13"/>
      <c r="D291" s="13"/>
      <c r="E291" s="13"/>
      <c r="F291" s="13"/>
    </row>
    <row r="292" spans="2:6" ht="12.5">
      <c r="B292" s="13"/>
      <c r="C292" s="13"/>
      <c r="D292" s="13"/>
      <c r="E292" s="13"/>
      <c r="F292" s="13"/>
    </row>
    <row r="293" spans="2:6" ht="12.5">
      <c r="B293" s="13"/>
      <c r="C293" s="13"/>
      <c r="D293" s="13"/>
      <c r="E293" s="13"/>
      <c r="F293" s="13"/>
    </row>
    <row r="294" spans="2:6" ht="12.5">
      <c r="B294" s="13"/>
      <c r="C294" s="13"/>
      <c r="D294" s="13"/>
      <c r="E294" s="13"/>
      <c r="F294" s="13"/>
    </row>
    <row r="295" spans="2:6" ht="12.5">
      <c r="B295" s="13"/>
      <c r="C295" s="13"/>
      <c r="D295" s="13"/>
      <c r="E295" s="13"/>
      <c r="F295" s="13"/>
    </row>
    <row r="296" spans="2:6" ht="12.5">
      <c r="B296" s="13"/>
      <c r="C296" s="13"/>
      <c r="D296" s="13"/>
      <c r="E296" s="13"/>
      <c r="F296" s="13"/>
    </row>
    <row r="297" spans="2:6" ht="12.5">
      <c r="B297" s="13"/>
      <c r="C297" s="13"/>
      <c r="D297" s="13"/>
      <c r="E297" s="13"/>
      <c r="F297" s="13"/>
    </row>
    <row r="298" spans="2:6" ht="12.5">
      <c r="B298" s="13"/>
      <c r="C298" s="13"/>
      <c r="D298" s="13"/>
      <c r="E298" s="13"/>
      <c r="F298" s="13"/>
    </row>
    <row r="299" spans="2:6" ht="12.5">
      <c r="B299" s="13"/>
      <c r="C299" s="13"/>
      <c r="D299" s="13"/>
      <c r="E299" s="13"/>
      <c r="F299" s="13"/>
    </row>
    <row r="300" spans="2:6" ht="12.5">
      <c r="B300" s="13"/>
      <c r="C300" s="13"/>
      <c r="D300" s="13"/>
      <c r="E300" s="13"/>
      <c r="F300" s="13"/>
    </row>
    <row r="301" spans="2:6" ht="12.5">
      <c r="B301" s="13"/>
      <c r="C301" s="13"/>
      <c r="D301" s="13"/>
      <c r="E301" s="13"/>
      <c r="F301" s="13"/>
    </row>
    <row r="302" spans="2:6" ht="12.5">
      <c r="B302" s="13"/>
      <c r="C302" s="13"/>
      <c r="D302" s="13"/>
      <c r="E302" s="13"/>
      <c r="F302" s="13"/>
    </row>
    <row r="303" spans="2:6" ht="12.5">
      <c r="B303" s="13"/>
      <c r="C303" s="13"/>
      <c r="D303" s="13"/>
      <c r="E303" s="13"/>
      <c r="F303" s="13"/>
    </row>
    <row r="304" spans="2:6" ht="12.5">
      <c r="B304" s="13"/>
      <c r="C304" s="13"/>
      <c r="D304" s="13"/>
      <c r="E304" s="13"/>
      <c r="F304" s="13"/>
    </row>
    <row r="305" spans="2:6" ht="12.5">
      <c r="B305" s="13"/>
      <c r="C305" s="13"/>
      <c r="D305" s="13"/>
      <c r="E305" s="13"/>
      <c r="F305" s="13"/>
    </row>
    <row r="306" spans="2:6" ht="12.5">
      <c r="B306" s="13"/>
      <c r="C306" s="13"/>
      <c r="D306" s="13"/>
      <c r="E306" s="13"/>
      <c r="F306" s="13"/>
    </row>
    <row r="307" spans="2:6" ht="12.5">
      <c r="B307" s="13"/>
      <c r="C307" s="13"/>
      <c r="D307" s="13"/>
      <c r="E307" s="13"/>
      <c r="F307" s="13"/>
    </row>
    <row r="308" spans="2:6" ht="12.5">
      <c r="B308" s="13"/>
      <c r="C308" s="13"/>
      <c r="D308" s="13"/>
      <c r="E308" s="13"/>
      <c r="F308" s="13"/>
    </row>
    <row r="309" spans="2:6" ht="12.5">
      <c r="B309" s="13"/>
      <c r="C309" s="13"/>
      <c r="D309" s="13"/>
      <c r="E309" s="13"/>
      <c r="F309" s="13"/>
    </row>
    <row r="310" spans="2:6" ht="12.5">
      <c r="B310" s="13"/>
      <c r="C310" s="13"/>
      <c r="D310" s="13"/>
      <c r="E310" s="13"/>
      <c r="F310" s="13"/>
    </row>
    <row r="311" spans="2:6" ht="12.5">
      <c r="B311" s="13"/>
      <c r="C311" s="13"/>
      <c r="D311" s="13"/>
      <c r="E311" s="13"/>
      <c r="F311" s="13"/>
    </row>
    <row r="312" spans="2:6" ht="12.5">
      <c r="B312" s="13"/>
      <c r="C312" s="13"/>
      <c r="D312" s="13"/>
      <c r="E312" s="13"/>
      <c r="F312" s="13"/>
    </row>
    <row r="313" spans="2:6" ht="12.5">
      <c r="B313" s="13"/>
      <c r="C313" s="13"/>
      <c r="D313" s="13"/>
      <c r="E313" s="13"/>
      <c r="F313" s="13"/>
    </row>
    <row r="314" spans="2:6" ht="12.5">
      <c r="B314" s="13"/>
      <c r="C314" s="13"/>
      <c r="D314" s="13"/>
      <c r="E314" s="13"/>
      <c r="F314" s="13"/>
    </row>
    <row r="315" spans="2:6" ht="12.5">
      <c r="B315" s="13"/>
      <c r="C315" s="13"/>
      <c r="D315" s="13"/>
      <c r="E315" s="13"/>
      <c r="F315" s="13"/>
    </row>
    <row r="316" spans="2:6" ht="12.5">
      <c r="B316" s="13"/>
      <c r="C316" s="13"/>
      <c r="D316" s="13"/>
      <c r="E316" s="13"/>
      <c r="F316" s="13"/>
    </row>
    <row r="317" spans="2:6" ht="12.5">
      <c r="B317" s="13"/>
      <c r="C317" s="13"/>
      <c r="D317" s="13"/>
      <c r="E317" s="13"/>
      <c r="F317" s="13"/>
    </row>
    <row r="318" spans="2:6" ht="12.5">
      <c r="B318" s="13"/>
      <c r="C318" s="13"/>
      <c r="D318" s="13"/>
      <c r="E318" s="13"/>
      <c r="F318" s="13"/>
    </row>
    <row r="319" spans="2:6" ht="12.5">
      <c r="B319" s="13"/>
      <c r="C319" s="13"/>
      <c r="D319" s="13"/>
      <c r="E319" s="13"/>
      <c r="F319" s="13"/>
    </row>
    <row r="320" spans="2:6" ht="12.5">
      <c r="B320" s="13"/>
      <c r="C320" s="13"/>
      <c r="D320" s="13"/>
      <c r="E320" s="13"/>
      <c r="F320" s="13"/>
    </row>
    <row r="321" spans="2:6" ht="12.5">
      <c r="B321" s="13"/>
      <c r="C321" s="13"/>
      <c r="D321" s="13"/>
      <c r="E321" s="13"/>
      <c r="F321" s="13"/>
    </row>
    <row r="322" spans="2:6" ht="12.5">
      <c r="B322" s="13"/>
      <c r="C322" s="13"/>
      <c r="D322" s="13"/>
      <c r="E322" s="13"/>
      <c r="F322" s="13"/>
    </row>
    <row r="323" spans="2:6" ht="12.5">
      <c r="B323" s="13"/>
      <c r="C323" s="13"/>
      <c r="D323" s="13"/>
      <c r="E323" s="13"/>
      <c r="F323" s="13"/>
    </row>
    <row r="324" spans="2:6" ht="12.5">
      <c r="B324" s="13"/>
      <c r="C324" s="13"/>
      <c r="D324" s="13"/>
      <c r="E324" s="13"/>
      <c r="F324" s="13"/>
    </row>
    <row r="325" spans="2:6" ht="12.5">
      <c r="B325" s="13"/>
      <c r="C325" s="13"/>
      <c r="D325" s="13"/>
      <c r="E325" s="13"/>
      <c r="F325" s="13"/>
    </row>
    <row r="326" spans="2:6" ht="12.5">
      <c r="B326" s="13"/>
      <c r="C326" s="13"/>
      <c r="D326" s="13"/>
      <c r="E326" s="13"/>
      <c r="F326" s="13"/>
    </row>
    <row r="327" spans="2:6" ht="12.5">
      <c r="B327" s="13"/>
      <c r="C327" s="13"/>
      <c r="D327" s="13"/>
      <c r="E327" s="13"/>
      <c r="F327" s="13"/>
    </row>
    <row r="328" spans="2:6" ht="12.5">
      <c r="B328" s="13"/>
      <c r="C328" s="13"/>
      <c r="D328" s="13"/>
      <c r="E328" s="13"/>
      <c r="F328" s="13"/>
    </row>
    <row r="329" spans="2:6" ht="12.5">
      <c r="B329" s="13"/>
      <c r="C329" s="13"/>
      <c r="D329" s="13"/>
      <c r="E329" s="13"/>
      <c r="F329" s="13"/>
    </row>
    <row r="330" spans="2:6" ht="12.5">
      <c r="B330" s="13"/>
      <c r="C330" s="13"/>
      <c r="D330" s="13"/>
      <c r="E330" s="13"/>
      <c r="F330" s="13"/>
    </row>
    <row r="331" spans="2:6" ht="12.5">
      <c r="B331" s="13"/>
      <c r="C331" s="13"/>
      <c r="D331" s="13"/>
      <c r="E331" s="13"/>
      <c r="F331" s="13"/>
    </row>
    <row r="332" spans="2:6" ht="12.5">
      <c r="B332" s="13"/>
      <c r="C332" s="13"/>
      <c r="D332" s="13"/>
      <c r="E332" s="13"/>
      <c r="F332" s="13"/>
    </row>
    <row r="333" spans="2:6" ht="12.5">
      <c r="B333" s="13"/>
      <c r="C333" s="13"/>
      <c r="D333" s="13"/>
      <c r="E333" s="13"/>
      <c r="F333" s="13"/>
    </row>
    <row r="334" spans="2:6" ht="12.5">
      <c r="B334" s="13"/>
      <c r="C334" s="13"/>
      <c r="D334" s="13"/>
      <c r="E334" s="13"/>
      <c r="F334" s="13"/>
    </row>
    <row r="335" spans="2:6" ht="12.5">
      <c r="B335" s="13"/>
      <c r="C335" s="13"/>
      <c r="D335" s="13"/>
      <c r="E335" s="13"/>
      <c r="F335" s="13"/>
    </row>
    <row r="336" spans="2:6" ht="12.5">
      <c r="B336" s="13"/>
      <c r="C336" s="13"/>
      <c r="D336" s="13"/>
      <c r="E336" s="13"/>
      <c r="F336" s="13"/>
    </row>
    <row r="337" spans="2:6" ht="12.5">
      <c r="B337" s="13"/>
      <c r="C337" s="13"/>
      <c r="D337" s="13"/>
      <c r="E337" s="13"/>
      <c r="F337" s="13"/>
    </row>
    <row r="338" spans="2:6" ht="12.5">
      <c r="B338" s="13"/>
      <c r="C338" s="13"/>
      <c r="D338" s="13"/>
      <c r="E338" s="13"/>
      <c r="F338" s="13"/>
    </row>
    <row r="339" spans="2:6" ht="12.5">
      <c r="B339" s="13"/>
      <c r="C339" s="13"/>
      <c r="D339" s="13"/>
      <c r="E339" s="13"/>
      <c r="F339" s="13"/>
    </row>
    <row r="340" spans="2:6" ht="12.5">
      <c r="B340" s="13"/>
      <c r="C340" s="13"/>
      <c r="D340" s="13"/>
      <c r="E340" s="13"/>
      <c r="F340" s="13"/>
    </row>
    <row r="341" spans="2:6" ht="12.5">
      <c r="B341" s="13"/>
      <c r="C341" s="13"/>
      <c r="D341" s="13"/>
      <c r="E341" s="13"/>
      <c r="F341" s="13"/>
    </row>
    <row r="342" spans="2:6" ht="12.5">
      <c r="B342" s="13"/>
      <c r="C342" s="13"/>
      <c r="D342" s="13"/>
      <c r="E342" s="13"/>
      <c r="F342" s="13"/>
    </row>
    <row r="343" spans="2:6" ht="12.5">
      <c r="B343" s="13"/>
      <c r="C343" s="13"/>
      <c r="D343" s="13"/>
      <c r="E343" s="13"/>
      <c r="F343" s="13"/>
    </row>
    <row r="344" spans="2:6" ht="12.5">
      <c r="B344" s="13"/>
      <c r="C344" s="13"/>
      <c r="D344" s="13"/>
      <c r="E344" s="13"/>
      <c r="F344" s="13"/>
    </row>
    <row r="345" spans="2:6" ht="12.5">
      <c r="B345" s="13"/>
      <c r="C345" s="13"/>
      <c r="D345" s="13"/>
      <c r="E345" s="13"/>
      <c r="F345" s="13"/>
    </row>
    <row r="346" spans="2:6" ht="12.5">
      <c r="B346" s="13"/>
      <c r="C346" s="13"/>
      <c r="D346" s="13"/>
      <c r="E346" s="13"/>
      <c r="F346" s="13"/>
    </row>
    <row r="347" spans="2:6" ht="12.5">
      <c r="B347" s="13"/>
      <c r="C347" s="13"/>
      <c r="D347" s="13"/>
      <c r="E347" s="13"/>
      <c r="F347" s="13"/>
    </row>
    <row r="348" spans="2:6" ht="12.5">
      <c r="B348" s="13"/>
      <c r="C348" s="13"/>
      <c r="D348" s="13"/>
      <c r="E348" s="13"/>
      <c r="F348" s="13"/>
    </row>
    <row r="349" spans="2:6" ht="12.5">
      <c r="B349" s="13"/>
      <c r="C349" s="13"/>
      <c r="D349" s="13"/>
      <c r="E349" s="13"/>
      <c r="F349" s="13"/>
    </row>
    <row r="350" spans="2:6" ht="12.5">
      <c r="B350" s="13"/>
      <c r="C350" s="13"/>
      <c r="D350" s="13"/>
      <c r="E350" s="13"/>
      <c r="F350" s="13"/>
    </row>
    <row r="351" spans="2:6" ht="12.5">
      <c r="B351" s="13"/>
      <c r="C351" s="13"/>
      <c r="D351" s="13"/>
      <c r="E351" s="13"/>
      <c r="F351" s="13"/>
    </row>
    <row r="352" spans="2:6" ht="12.5">
      <c r="B352" s="13"/>
      <c r="C352" s="13"/>
      <c r="D352" s="13"/>
      <c r="E352" s="13"/>
      <c r="F352" s="13"/>
    </row>
    <row r="353" spans="2:6" ht="12.5">
      <c r="B353" s="13"/>
      <c r="C353" s="13"/>
      <c r="D353" s="13"/>
      <c r="E353" s="13"/>
      <c r="F353" s="13"/>
    </row>
    <row r="354" spans="2:6" ht="12.5">
      <c r="B354" s="13"/>
      <c r="C354" s="13"/>
      <c r="D354" s="13"/>
      <c r="E354" s="13"/>
      <c r="F354" s="13"/>
    </row>
    <row r="355" spans="2:6" ht="12.5">
      <c r="B355" s="13"/>
      <c r="C355" s="13"/>
      <c r="D355" s="13"/>
      <c r="E355" s="13"/>
      <c r="F355" s="13"/>
    </row>
    <row r="356" spans="2:6" ht="12.5">
      <c r="B356" s="13"/>
      <c r="C356" s="13"/>
      <c r="D356" s="13"/>
      <c r="E356" s="13"/>
      <c r="F356" s="13"/>
    </row>
    <row r="357" spans="2:6" ht="12.5">
      <c r="B357" s="13"/>
      <c r="C357" s="13"/>
      <c r="D357" s="13"/>
      <c r="E357" s="13"/>
      <c r="F357" s="13"/>
    </row>
    <row r="358" spans="2:6" ht="12.5">
      <c r="B358" s="13"/>
      <c r="C358" s="13"/>
      <c r="D358" s="13"/>
      <c r="E358" s="13"/>
      <c r="F358" s="13"/>
    </row>
    <row r="359" spans="2:6" ht="12.5">
      <c r="B359" s="13"/>
      <c r="C359" s="13"/>
      <c r="D359" s="13"/>
      <c r="E359" s="13"/>
      <c r="F359" s="13"/>
    </row>
    <row r="360" spans="2:6" ht="12.5">
      <c r="B360" s="13"/>
      <c r="C360" s="13"/>
      <c r="D360" s="13"/>
      <c r="E360" s="13"/>
      <c r="F360" s="13"/>
    </row>
    <row r="361" spans="2:6" ht="12.5">
      <c r="B361" s="13"/>
      <c r="C361" s="13"/>
      <c r="D361" s="13"/>
      <c r="E361" s="13"/>
      <c r="F361" s="13"/>
    </row>
    <row r="362" spans="2:6" ht="12.5">
      <c r="B362" s="13"/>
      <c r="C362" s="13"/>
      <c r="D362" s="13"/>
      <c r="E362" s="13"/>
      <c r="F362" s="13"/>
    </row>
    <row r="363" spans="2:6" ht="12.5">
      <c r="B363" s="13"/>
      <c r="C363" s="13"/>
      <c r="D363" s="13"/>
      <c r="E363" s="13"/>
      <c r="F363" s="13"/>
    </row>
    <row r="364" spans="2:6" ht="12.5">
      <c r="B364" s="13"/>
      <c r="C364" s="13"/>
      <c r="D364" s="13"/>
      <c r="E364" s="13"/>
      <c r="F364" s="13"/>
    </row>
    <row r="365" spans="2:6" ht="12.5">
      <c r="B365" s="13"/>
      <c r="C365" s="13"/>
      <c r="D365" s="13"/>
      <c r="E365" s="13"/>
      <c r="F365" s="13"/>
    </row>
    <row r="366" spans="2:6" ht="12.5">
      <c r="B366" s="13"/>
      <c r="C366" s="13"/>
      <c r="D366" s="13"/>
      <c r="E366" s="13"/>
      <c r="F366" s="13"/>
    </row>
    <row r="367" spans="2:6" ht="12.5">
      <c r="B367" s="13"/>
      <c r="C367" s="13"/>
      <c r="D367" s="13"/>
      <c r="E367" s="13"/>
      <c r="F367" s="13"/>
    </row>
    <row r="368" spans="2:6" ht="12.5">
      <c r="B368" s="13"/>
      <c r="C368" s="13"/>
      <c r="D368" s="13"/>
      <c r="E368" s="13"/>
      <c r="F368" s="13"/>
    </row>
    <row r="369" spans="2:6" ht="12.5">
      <c r="B369" s="13"/>
      <c r="C369" s="13"/>
      <c r="D369" s="13"/>
      <c r="E369" s="13"/>
      <c r="F369" s="13"/>
    </row>
    <row r="370" spans="2:6" ht="12.5">
      <c r="B370" s="13"/>
      <c r="C370" s="13"/>
      <c r="D370" s="13"/>
      <c r="E370" s="13"/>
      <c r="F370" s="13"/>
    </row>
    <row r="371" spans="2:6" ht="12.5">
      <c r="B371" s="13"/>
      <c r="C371" s="13"/>
      <c r="D371" s="13"/>
      <c r="E371" s="13"/>
      <c r="F371" s="13"/>
    </row>
    <row r="372" spans="2:6" ht="12.5">
      <c r="B372" s="13"/>
      <c r="C372" s="13"/>
      <c r="D372" s="13"/>
      <c r="E372" s="13"/>
      <c r="F372" s="13"/>
    </row>
    <row r="373" spans="2:6" ht="12.5">
      <c r="B373" s="13"/>
      <c r="C373" s="13"/>
      <c r="D373" s="13"/>
      <c r="E373" s="13"/>
      <c r="F373" s="13"/>
    </row>
    <row r="374" spans="2:6" ht="12.5">
      <c r="B374" s="13"/>
      <c r="C374" s="13"/>
      <c r="D374" s="13"/>
      <c r="E374" s="13"/>
      <c r="F374" s="13"/>
    </row>
    <row r="375" spans="2:6" ht="12.5">
      <c r="B375" s="13"/>
      <c r="C375" s="13"/>
      <c r="D375" s="13"/>
      <c r="E375" s="13"/>
      <c r="F375" s="13"/>
    </row>
    <row r="376" spans="2:6" ht="12.5">
      <c r="B376" s="13"/>
      <c r="C376" s="13"/>
      <c r="D376" s="13"/>
      <c r="E376" s="13"/>
      <c r="F376" s="13"/>
    </row>
    <row r="377" spans="2:6" ht="12.5">
      <c r="B377" s="13"/>
      <c r="C377" s="13"/>
      <c r="D377" s="13"/>
      <c r="E377" s="13"/>
      <c r="F377" s="13"/>
    </row>
    <row r="378" spans="2:6" ht="12.5">
      <c r="B378" s="13"/>
      <c r="C378" s="13"/>
      <c r="D378" s="13"/>
      <c r="E378" s="13"/>
      <c r="F378" s="13"/>
    </row>
    <row r="379" spans="2:6" ht="12.5">
      <c r="B379" s="13"/>
      <c r="C379" s="13"/>
      <c r="D379" s="13"/>
      <c r="E379" s="13"/>
      <c r="F379" s="13"/>
    </row>
    <row r="380" spans="2:6" ht="12.5">
      <c r="B380" s="13"/>
      <c r="C380" s="13"/>
      <c r="D380" s="13"/>
      <c r="E380" s="13"/>
      <c r="F380" s="13"/>
    </row>
    <row r="381" spans="2:6" ht="12.5">
      <c r="B381" s="13"/>
      <c r="C381" s="13"/>
      <c r="D381" s="13"/>
      <c r="E381" s="13"/>
      <c r="F381" s="13"/>
    </row>
    <row r="382" spans="2:6" ht="12.5">
      <c r="B382" s="13"/>
      <c r="C382" s="13"/>
      <c r="D382" s="13"/>
      <c r="E382" s="13"/>
      <c r="F382" s="13"/>
    </row>
    <row r="383" spans="2:6" ht="12.5">
      <c r="B383" s="13"/>
      <c r="C383" s="13"/>
      <c r="D383" s="13"/>
      <c r="E383" s="13"/>
      <c r="F383" s="13"/>
    </row>
    <row r="384" spans="2:6" ht="12.5">
      <c r="B384" s="13"/>
      <c r="C384" s="13"/>
      <c r="D384" s="13"/>
      <c r="E384" s="13"/>
      <c r="F384" s="13"/>
    </row>
    <row r="385" spans="2:6" ht="12.5">
      <c r="B385" s="13"/>
      <c r="C385" s="13"/>
      <c r="D385" s="13"/>
      <c r="E385" s="13"/>
      <c r="F385" s="13"/>
    </row>
    <row r="386" spans="2:6" ht="12.5">
      <c r="B386" s="13"/>
      <c r="C386" s="13"/>
      <c r="D386" s="13"/>
      <c r="E386" s="13"/>
      <c r="F386" s="13"/>
    </row>
    <row r="387" spans="2:6" ht="12.5">
      <c r="B387" s="13"/>
      <c r="C387" s="13"/>
      <c r="D387" s="13"/>
      <c r="E387" s="13"/>
      <c r="F387" s="13"/>
    </row>
    <row r="388" spans="2:6" ht="12.5">
      <c r="B388" s="13"/>
      <c r="C388" s="13"/>
      <c r="D388" s="13"/>
      <c r="E388" s="13"/>
      <c r="F388" s="13"/>
    </row>
    <row r="389" spans="2:6" ht="12.5">
      <c r="B389" s="13"/>
      <c r="C389" s="13"/>
      <c r="D389" s="13"/>
      <c r="E389" s="13"/>
      <c r="F389" s="13"/>
    </row>
    <row r="390" spans="2:6" ht="12.5">
      <c r="B390" s="13"/>
      <c r="C390" s="13"/>
      <c r="D390" s="13"/>
      <c r="E390" s="13"/>
      <c r="F390" s="13"/>
    </row>
    <row r="391" spans="2:6" ht="12.5">
      <c r="B391" s="13"/>
      <c r="C391" s="13"/>
      <c r="D391" s="13"/>
      <c r="E391" s="13"/>
      <c r="F391" s="13"/>
    </row>
    <row r="392" spans="2:6" ht="12.5">
      <c r="B392" s="13"/>
      <c r="C392" s="13"/>
      <c r="D392" s="13"/>
      <c r="E392" s="13"/>
      <c r="F392" s="13"/>
    </row>
    <row r="393" spans="2:6" ht="12.5">
      <c r="B393" s="13"/>
      <c r="C393" s="13"/>
      <c r="D393" s="13"/>
      <c r="E393" s="13"/>
      <c r="F393" s="13"/>
    </row>
    <row r="394" spans="2:6" ht="12.5">
      <c r="B394" s="13"/>
      <c r="C394" s="13"/>
      <c r="D394" s="13"/>
      <c r="E394" s="13"/>
      <c r="F394" s="13"/>
    </row>
    <row r="395" spans="2:6" ht="12.5">
      <c r="B395" s="13"/>
      <c r="C395" s="13"/>
      <c r="D395" s="13"/>
      <c r="E395" s="13"/>
      <c r="F395" s="13"/>
    </row>
    <row r="396" spans="2:6" ht="12.5">
      <c r="B396" s="13"/>
      <c r="C396" s="13"/>
      <c r="D396" s="13"/>
      <c r="E396" s="13"/>
      <c r="F396" s="13"/>
    </row>
    <row r="397" spans="2:6" ht="12.5">
      <c r="B397" s="13"/>
      <c r="C397" s="13"/>
      <c r="D397" s="13"/>
      <c r="E397" s="13"/>
      <c r="F397" s="13"/>
    </row>
    <row r="398" spans="2:6" ht="12.5">
      <c r="B398" s="13"/>
      <c r="C398" s="13"/>
      <c r="D398" s="13"/>
      <c r="E398" s="13"/>
      <c r="F398" s="13"/>
    </row>
    <row r="399" spans="2:6" ht="12.5">
      <c r="B399" s="13"/>
      <c r="C399" s="13"/>
      <c r="D399" s="13"/>
      <c r="E399" s="13"/>
      <c r="F399" s="13"/>
    </row>
    <row r="400" spans="2:6" ht="12.5">
      <c r="B400" s="13"/>
      <c r="C400" s="13"/>
      <c r="D400" s="13"/>
      <c r="E400" s="13"/>
      <c r="F400" s="13"/>
    </row>
    <row r="401" spans="2:6" ht="12.5">
      <c r="B401" s="13"/>
      <c r="C401" s="13"/>
      <c r="D401" s="13"/>
      <c r="E401" s="13"/>
      <c r="F401" s="13"/>
    </row>
    <row r="402" spans="2:6" ht="12.5">
      <c r="B402" s="13"/>
      <c r="C402" s="13"/>
      <c r="D402" s="13"/>
      <c r="E402" s="13"/>
      <c r="F402" s="13"/>
    </row>
    <row r="403" spans="2:6" ht="12.5">
      <c r="B403" s="13"/>
      <c r="C403" s="13"/>
      <c r="D403" s="13"/>
      <c r="E403" s="13"/>
      <c r="F403" s="13"/>
    </row>
    <row r="404" spans="2:6" ht="12.5">
      <c r="B404" s="13"/>
      <c r="C404" s="13"/>
      <c r="D404" s="13"/>
      <c r="E404" s="13"/>
      <c r="F404" s="13"/>
    </row>
    <row r="405" spans="2:6" ht="12.5">
      <c r="B405" s="13"/>
      <c r="C405" s="13"/>
      <c r="D405" s="13"/>
      <c r="E405" s="13"/>
      <c r="F405" s="13"/>
    </row>
    <row r="406" spans="2:6" ht="12.5">
      <c r="B406" s="13"/>
      <c r="C406" s="13"/>
      <c r="D406" s="13"/>
      <c r="E406" s="13"/>
      <c r="F406" s="13"/>
    </row>
    <row r="407" spans="2:6" ht="12.5">
      <c r="B407" s="13"/>
      <c r="C407" s="13"/>
      <c r="D407" s="13"/>
      <c r="E407" s="13"/>
      <c r="F407" s="13"/>
    </row>
    <row r="408" spans="2:6" ht="12.5">
      <c r="B408" s="13"/>
      <c r="C408" s="13"/>
      <c r="D408" s="13"/>
      <c r="E408" s="13"/>
      <c r="F408" s="13"/>
    </row>
    <row r="409" spans="2:6" ht="12.5">
      <c r="B409" s="13"/>
      <c r="C409" s="13"/>
      <c r="D409" s="13"/>
      <c r="E409" s="13"/>
      <c r="F409" s="13"/>
    </row>
    <row r="410" spans="2:6" ht="12.5">
      <c r="B410" s="13"/>
      <c r="C410" s="13"/>
      <c r="D410" s="13"/>
      <c r="E410" s="13"/>
      <c r="F410" s="13"/>
    </row>
    <row r="411" spans="2:6" ht="12.5">
      <c r="B411" s="13"/>
      <c r="C411" s="13"/>
      <c r="D411" s="13"/>
      <c r="E411" s="13"/>
      <c r="F411" s="13"/>
    </row>
    <row r="412" spans="2:6" ht="12.5">
      <c r="B412" s="13"/>
      <c r="C412" s="13"/>
      <c r="D412" s="13"/>
      <c r="E412" s="13"/>
      <c r="F412" s="13"/>
    </row>
    <row r="413" spans="2:6" ht="12.5">
      <c r="B413" s="13"/>
      <c r="C413" s="13"/>
      <c r="D413" s="13"/>
      <c r="E413" s="13"/>
      <c r="F413" s="13"/>
    </row>
    <row r="414" spans="2:6" ht="12.5">
      <c r="B414" s="13"/>
      <c r="C414" s="13"/>
      <c r="D414" s="13"/>
      <c r="E414" s="13"/>
      <c r="F414" s="13"/>
    </row>
    <row r="415" spans="2:6" ht="12.5">
      <c r="B415" s="13"/>
      <c r="C415" s="13"/>
      <c r="D415" s="13"/>
      <c r="E415" s="13"/>
      <c r="F415" s="13"/>
    </row>
    <row r="416" spans="2:6" ht="12.5">
      <c r="B416" s="13"/>
      <c r="C416" s="13"/>
      <c r="D416" s="13"/>
      <c r="E416" s="13"/>
      <c r="F416" s="13"/>
    </row>
    <row r="417" spans="2:6" ht="12.5">
      <c r="B417" s="13"/>
      <c r="C417" s="13"/>
      <c r="D417" s="13"/>
      <c r="E417" s="13"/>
      <c r="F417" s="13"/>
    </row>
    <row r="418" spans="2:6" ht="12.5">
      <c r="B418" s="13"/>
      <c r="C418" s="13"/>
      <c r="D418" s="13"/>
      <c r="E418" s="13"/>
      <c r="F418" s="13"/>
    </row>
    <row r="419" spans="2:6" ht="12.5">
      <c r="B419" s="13"/>
      <c r="C419" s="13"/>
      <c r="D419" s="13"/>
      <c r="E419" s="13"/>
      <c r="F419" s="13"/>
    </row>
    <row r="420" spans="2:6" ht="12.5">
      <c r="B420" s="13"/>
      <c r="C420" s="13"/>
      <c r="D420" s="13"/>
      <c r="E420" s="13"/>
      <c r="F420" s="13"/>
    </row>
    <row r="421" spans="2:6" ht="12.5">
      <c r="B421" s="13"/>
      <c r="C421" s="13"/>
      <c r="D421" s="13"/>
      <c r="E421" s="13"/>
      <c r="F421" s="13"/>
    </row>
    <row r="422" spans="2:6" ht="12.5">
      <c r="B422" s="13"/>
      <c r="C422" s="13"/>
      <c r="D422" s="13"/>
      <c r="E422" s="13"/>
      <c r="F422" s="13"/>
    </row>
    <row r="423" spans="2:6" ht="12.5">
      <c r="B423" s="13"/>
      <c r="C423" s="13"/>
      <c r="D423" s="13"/>
      <c r="E423" s="13"/>
      <c r="F423" s="13"/>
    </row>
    <row r="424" spans="2:6" ht="12.5">
      <c r="B424" s="13"/>
      <c r="C424" s="13"/>
      <c r="D424" s="13"/>
      <c r="E424" s="13"/>
      <c r="F424" s="13"/>
    </row>
    <row r="425" spans="2:6" ht="12.5">
      <c r="B425" s="13"/>
      <c r="C425" s="13"/>
      <c r="D425" s="13"/>
      <c r="E425" s="13"/>
      <c r="F425" s="13"/>
    </row>
    <row r="426" spans="2:6" ht="12.5">
      <c r="B426" s="13"/>
      <c r="C426" s="13"/>
      <c r="D426" s="13"/>
      <c r="E426" s="13"/>
      <c r="F426" s="13"/>
    </row>
    <row r="427" spans="2:6" ht="12.5">
      <c r="B427" s="13"/>
      <c r="C427" s="13"/>
      <c r="D427" s="13"/>
      <c r="E427" s="13"/>
      <c r="F427" s="13"/>
    </row>
    <row r="428" spans="2:6" ht="12.5">
      <c r="B428" s="13"/>
      <c r="C428" s="13"/>
      <c r="D428" s="13"/>
      <c r="E428" s="13"/>
      <c r="F428" s="13"/>
    </row>
    <row r="429" spans="2:6" ht="12.5">
      <c r="B429" s="13"/>
      <c r="C429" s="13"/>
      <c r="D429" s="13"/>
      <c r="E429" s="13"/>
      <c r="F429" s="13"/>
    </row>
    <row r="430" spans="2:6" ht="12.5">
      <c r="B430" s="13"/>
      <c r="C430" s="13"/>
      <c r="D430" s="13"/>
      <c r="E430" s="13"/>
      <c r="F430" s="13"/>
    </row>
    <row r="431" spans="2:6" ht="12.5">
      <c r="B431" s="13"/>
      <c r="C431" s="13"/>
      <c r="D431" s="13"/>
      <c r="E431" s="13"/>
      <c r="F431" s="13"/>
    </row>
    <row r="432" spans="2:6" ht="12.5">
      <c r="B432" s="13"/>
      <c r="C432" s="13"/>
      <c r="D432" s="13"/>
      <c r="E432" s="13"/>
      <c r="F432" s="13"/>
    </row>
    <row r="433" spans="2:6" ht="12.5">
      <c r="B433" s="13"/>
      <c r="C433" s="13"/>
      <c r="D433" s="13"/>
      <c r="E433" s="13"/>
      <c r="F433" s="13"/>
    </row>
    <row r="434" spans="2:6" ht="12.5">
      <c r="B434" s="13"/>
      <c r="C434" s="13"/>
      <c r="D434" s="13"/>
      <c r="E434" s="13"/>
      <c r="F434" s="13"/>
    </row>
    <row r="435" spans="2:6" ht="12.5">
      <c r="B435" s="13"/>
      <c r="C435" s="13"/>
      <c r="D435" s="13"/>
      <c r="E435" s="13"/>
      <c r="F435" s="13"/>
    </row>
    <row r="436" spans="2:6" ht="12.5">
      <c r="B436" s="13"/>
      <c r="C436" s="13"/>
      <c r="D436" s="13"/>
      <c r="E436" s="13"/>
      <c r="F436" s="13"/>
    </row>
    <row r="437" spans="2:6" ht="12.5">
      <c r="B437" s="13"/>
      <c r="C437" s="13"/>
      <c r="D437" s="13"/>
      <c r="E437" s="13"/>
      <c r="F437" s="13"/>
    </row>
    <row r="438" spans="2:6" ht="12.5">
      <c r="B438" s="13"/>
      <c r="C438" s="13"/>
      <c r="D438" s="13"/>
      <c r="E438" s="13"/>
      <c r="F438" s="13"/>
    </row>
    <row r="439" spans="2:6" ht="12.5">
      <c r="B439" s="13"/>
      <c r="C439" s="13"/>
      <c r="D439" s="13"/>
      <c r="E439" s="13"/>
      <c r="F439" s="13"/>
    </row>
    <row r="440" spans="2:6" ht="12.5">
      <c r="B440" s="13"/>
      <c r="C440" s="13"/>
      <c r="D440" s="13"/>
      <c r="E440" s="13"/>
      <c r="F440" s="13"/>
    </row>
    <row r="441" spans="2:6" ht="12.5">
      <c r="B441" s="13"/>
      <c r="C441" s="13"/>
      <c r="D441" s="13"/>
      <c r="E441" s="13"/>
      <c r="F441" s="13"/>
    </row>
    <row r="442" spans="2:6" ht="12.5">
      <c r="B442" s="13"/>
      <c r="C442" s="13"/>
      <c r="D442" s="13"/>
      <c r="E442" s="13"/>
      <c r="F442" s="13"/>
    </row>
    <row r="443" spans="2:6" ht="12.5">
      <c r="B443" s="13"/>
      <c r="C443" s="13"/>
      <c r="D443" s="13"/>
      <c r="E443" s="13"/>
      <c r="F443" s="13"/>
    </row>
    <row r="444" spans="2:6" ht="12.5">
      <c r="B444" s="13"/>
      <c r="C444" s="13"/>
      <c r="D444" s="13"/>
      <c r="E444" s="13"/>
      <c r="F444" s="13"/>
    </row>
    <row r="445" spans="2:6" ht="12.5">
      <c r="B445" s="13"/>
      <c r="C445" s="13"/>
      <c r="D445" s="13"/>
      <c r="E445" s="13"/>
      <c r="F445" s="13"/>
    </row>
    <row r="446" spans="2:6" ht="12.5">
      <c r="B446" s="13"/>
      <c r="C446" s="13"/>
      <c r="D446" s="13"/>
      <c r="E446" s="13"/>
      <c r="F446" s="13"/>
    </row>
    <row r="447" spans="2:6" ht="12.5">
      <c r="B447" s="13"/>
      <c r="C447" s="13"/>
      <c r="D447" s="13"/>
      <c r="E447" s="13"/>
      <c r="F447" s="13"/>
    </row>
    <row r="448" spans="2:6" ht="12.5">
      <c r="B448" s="13"/>
      <c r="C448" s="13"/>
      <c r="D448" s="13"/>
      <c r="E448" s="13"/>
      <c r="F448" s="13"/>
    </row>
    <row r="449" spans="2:6" ht="12.5">
      <c r="B449" s="13"/>
      <c r="C449" s="13"/>
      <c r="D449" s="13"/>
      <c r="E449" s="13"/>
      <c r="F449" s="13"/>
    </row>
    <row r="450" spans="2:6" ht="12.5">
      <c r="B450" s="13"/>
      <c r="C450" s="13"/>
      <c r="D450" s="13"/>
      <c r="E450" s="13"/>
      <c r="F450" s="13"/>
    </row>
    <row r="451" spans="2:6" ht="12.5">
      <c r="B451" s="13"/>
      <c r="C451" s="13"/>
      <c r="D451" s="13"/>
      <c r="E451" s="13"/>
      <c r="F451" s="13"/>
    </row>
    <row r="452" spans="2:6" ht="12.5">
      <c r="B452" s="13"/>
      <c r="C452" s="13"/>
      <c r="D452" s="13"/>
      <c r="E452" s="13"/>
      <c r="F452" s="13"/>
    </row>
    <row r="453" spans="2:6" ht="12.5">
      <c r="B453" s="13"/>
      <c r="C453" s="13"/>
      <c r="D453" s="13"/>
      <c r="E453" s="13"/>
      <c r="F453" s="13"/>
    </row>
    <row r="454" spans="2:6" ht="12.5">
      <c r="B454" s="13"/>
      <c r="C454" s="13"/>
      <c r="D454" s="13"/>
      <c r="E454" s="13"/>
      <c r="F454" s="13"/>
    </row>
    <row r="455" spans="2:6" ht="12.5">
      <c r="B455" s="13"/>
      <c r="C455" s="13"/>
      <c r="D455" s="13"/>
      <c r="E455" s="13"/>
      <c r="F455" s="13"/>
    </row>
    <row r="456" spans="2:6" ht="12.5">
      <c r="B456" s="13"/>
      <c r="C456" s="13"/>
      <c r="D456" s="13"/>
      <c r="E456" s="13"/>
      <c r="F456" s="13"/>
    </row>
    <row r="457" spans="2:6" ht="12.5">
      <c r="B457" s="13"/>
      <c r="C457" s="13"/>
      <c r="D457" s="13"/>
      <c r="E457" s="13"/>
      <c r="F457" s="13"/>
    </row>
    <row r="458" spans="2:6" ht="12.5">
      <c r="B458" s="13"/>
      <c r="C458" s="13"/>
      <c r="D458" s="13"/>
      <c r="E458" s="13"/>
      <c r="F458" s="13"/>
    </row>
    <row r="459" spans="2:6" ht="12.5">
      <c r="B459" s="13"/>
      <c r="C459" s="13"/>
      <c r="D459" s="13"/>
      <c r="E459" s="13"/>
      <c r="F459" s="13"/>
    </row>
    <row r="460" spans="2:6" ht="12.5">
      <c r="B460" s="13"/>
      <c r="C460" s="13"/>
      <c r="D460" s="13"/>
      <c r="E460" s="13"/>
      <c r="F460" s="13"/>
    </row>
    <row r="461" spans="2:6" ht="12.5">
      <c r="B461" s="13"/>
      <c r="C461" s="13"/>
      <c r="D461" s="13"/>
      <c r="E461" s="13"/>
      <c r="F461" s="13"/>
    </row>
    <row r="462" spans="2:6" ht="12.5">
      <c r="B462" s="13"/>
      <c r="C462" s="13"/>
      <c r="D462" s="13"/>
      <c r="E462" s="13"/>
      <c r="F462" s="13"/>
    </row>
    <row r="463" spans="2:6" ht="12.5">
      <c r="B463" s="13"/>
      <c r="C463" s="13"/>
      <c r="D463" s="13"/>
      <c r="E463" s="13"/>
      <c r="F463" s="13"/>
    </row>
    <row r="464" spans="2:6" ht="12.5">
      <c r="B464" s="13"/>
      <c r="C464" s="13"/>
      <c r="D464" s="13"/>
      <c r="E464" s="13"/>
      <c r="F464" s="13"/>
    </row>
    <row r="465" spans="2:6" ht="12.5">
      <c r="B465" s="13"/>
      <c r="C465" s="13"/>
      <c r="D465" s="13"/>
      <c r="E465" s="13"/>
      <c r="F465" s="13"/>
    </row>
    <row r="466" spans="2:6" ht="12.5">
      <c r="B466" s="13"/>
      <c r="C466" s="13"/>
      <c r="D466" s="13"/>
      <c r="E466" s="13"/>
      <c r="F466" s="13"/>
    </row>
    <row r="467" spans="2:6" ht="12.5">
      <c r="B467" s="13"/>
      <c r="C467" s="13"/>
      <c r="D467" s="13"/>
      <c r="E467" s="13"/>
      <c r="F467" s="13"/>
    </row>
    <row r="468" spans="2:6" ht="12.5">
      <c r="B468" s="13"/>
      <c r="C468" s="13"/>
      <c r="D468" s="13"/>
      <c r="E468" s="13"/>
      <c r="F468" s="13"/>
    </row>
    <row r="469" spans="2:6" ht="12.5">
      <c r="B469" s="13"/>
      <c r="C469" s="13"/>
      <c r="D469" s="13"/>
      <c r="E469" s="13"/>
      <c r="F469" s="13"/>
    </row>
    <row r="470" spans="2:6" ht="12.5">
      <c r="B470" s="13"/>
      <c r="C470" s="13"/>
      <c r="D470" s="13"/>
      <c r="E470" s="13"/>
      <c r="F470" s="13"/>
    </row>
    <row r="471" spans="2:6" ht="12.5">
      <c r="B471" s="13"/>
      <c r="C471" s="13"/>
      <c r="D471" s="13"/>
      <c r="E471" s="13"/>
      <c r="F471" s="13"/>
    </row>
    <row r="472" spans="2:6" ht="12.5">
      <c r="B472" s="13"/>
      <c r="C472" s="13"/>
      <c r="D472" s="13"/>
      <c r="E472" s="13"/>
      <c r="F472" s="13"/>
    </row>
    <row r="473" spans="2:6" ht="12.5">
      <c r="B473" s="13"/>
      <c r="C473" s="13"/>
      <c r="D473" s="13"/>
      <c r="E473" s="13"/>
      <c r="F473" s="13"/>
    </row>
    <row r="474" spans="2:6" ht="12.5">
      <c r="B474" s="13"/>
      <c r="C474" s="13"/>
      <c r="D474" s="13"/>
      <c r="E474" s="13"/>
      <c r="F474" s="13"/>
    </row>
    <row r="475" spans="2:6" ht="12.5">
      <c r="B475" s="13"/>
      <c r="C475" s="13"/>
      <c r="D475" s="13"/>
      <c r="E475" s="13"/>
      <c r="F475" s="13"/>
    </row>
    <row r="476" spans="2:6" ht="12.5">
      <c r="B476" s="13"/>
      <c r="C476" s="13"/>
      <c r="D476" s="13"/>
      <c r="E476" s="13"/>
      <c r="F476" s="13"/>
    </row>
    <row r="477" spans="2:6" ht="12.5">
      <c r="B477" s="13"/>
      <c r="C477" s="13"/>
      <c r="D477" s="13"/>
      <c r="E477" s="13"/>
      <c r="F477" s="13"/>
    </row>
    <row r="478" spans="2:6" ht="12.5">
      <c r="B478" s="13"/>
      <c r="C478" s="13"/>
      <c r="D478" s="13"/>
      <c r="E478" s="13"/>
      <c r="F478" s="13"/>
    </row>
    <row r="479" spans="2:6" ht="12.5">
      <c r="B479" s="13"/>
      <c r="C479" s="13"/>
      <c r="D479" s="13"/>
      <c r="E479" s="13"/>
      <c r="F479" s="13"/>
    </row>
    <row r="480" spans="2:6" ht="12.5">
      <c r="B480" s="13"/>
      <c r="C480" s="13"/>
      <c r="D480" s="13"/>
      <c r="E480" s="13"/>
      <c r="F480" s="13"/>
    </row>
    <row r="481" spans="2:6" ht="12.5">
      <c r="B481" s="13"/>
      <c r="C481" s="13"/>
      <c r="D481" s="13"/>
      <c r="E481" s="13"/>
      <c r="F481" s="13"/>
    </row>
    <row r="482" spans="2:6" ht="12.5">
      <c r="B482" s="13"/>
      <c r="C482" s="13"/>
      <c r="D482" s="13"/>
      <c r="E482" s="13"/>
      <c r="F482" s="13"/>
    </row>
    <row r="483" spans="2:6" ht="12.5">
      <c r="B483" s="13"/>
      <c r="C483" s="13"/>
      <c r="D483" s="13"/>
      <c r="E483" s="13"/>
      <c r="F483" s="13"/>
    </row>
    <row r="484" spans="2:6" ht="12.5">
      <c r="B484" s="13"/>
      <c r="C484" s="13"/>
      <c r="D484" s="13"/>
      <c r="E484" s="13"/>
      <c r="F484" s="13"/>
    </row>
    <row r="485" spans="2:6" ht="12.5">
      <c r="B485" s="13"/>
      <c r="C485" s="13"/>
      <c r="D485" s="13"/>
      <c r="E485" s="13"/>
      <c r="F485" s="13"/>
    </row>
    <row r="486" spans="2:6" ht="12.5">
      <c r="B486" s="13"/>
      <c r="C486" s="13"/>
      <c r="D486" s="13"/>
      <c r="E486" s="13"/>
      <c r="F486" s="13"/>
    </row>
    <row r="487" spans="2:6" ht="12.5">
      <c r="B487" s="13"/>
      <c r="C487" s="13"/>
      <c r="D487" s="13"/>
      <c r="E487" s="13"/>
      <c r="F487" s="13"/>
    </row>
    <row r="488" spans="2:6" ht="12.5">
      <c r="B488" s="13"/>
      <c r="C488" s="13"/>
      <c r="D488" s="13"/>
      <c r="E488" s="13"/>
      <c r="F488" s="13"/>
    </row>
    <row r="489" spans="2:6" ht="12.5">
      <c r="B489" s="13"/>
      <c r="C489" s="13"/>
      <c r="D489" s="13"/>
      <c r="E489" s="13"/>
      <c r="F489" s="13"/>
    </row>
    <row r="490" spans="2:6" ht="12.5">
      <c r="B490" s="13"/>
      <c r="C490" s="13"/>
      <c r="D490" s="13"/>
      <c r="E490" s="13"/>
      <c r="F490" s="13"/>
    </row>
    <row r="491" spans="2:6" ht="12.5">
      <c r="B491" s="13"/>
      <c r="C491" s="13"/>
      <c r="D491" s="13"/>
      <c r="E491" s="13"/>
      <c r="F491" s="13"/>
    </row>
    <row r="492" spans="2:6" ht="12.5">
      <c r="B492" s="13"/>
      <c r="C492" s="13"/>
      <c r="D492" s="13"/>
      <c r="E492" s="13"/>
      <c r="F492" s="13"/>
    </row>
    <row r="493" spans="2:6" ht="12.5">
      <c r="B493" s="13"/>
      <c r="C493" s="13"/>
      <c r="D493" s="13"/>
      <c r="E493" s="13"/>
      <c r="F493" s="13"/>
    </row>
    <row r="494" spans="2:6" ht="12.5">
      <c r="B494" s="13"/>
      <c r="C494" s="13"/>
      <c r="D494" s="13"/>
      <c r="E494" s="13"/>
      <c r="F494" s="13"/>
    </row>
    <row r="495" spans="2:6" ht="12.5">
      <c r="B495" s="13"/>
      <c r="C495" s="13"/>
      <c r="D495" s="13"/>
      <c r="E495" s="13"/>
      <c r="F495" s="13"/>
    </row>
    <row r="496" spans="2:6" ht="12.5">
      <c r="B496" s="13"/>
      <c r="C496" s="13"/>
      <c r="D496" s="13"/>
      <c r="E496" s="13"/>
      <c r="F496" s="13"/>
    </row>
    <row r="497" spans="2:6" ht="12.5">
      <c r="B497" s="13"/>
      <c r="C497" s="13"/>
      <c r="D497" s="13"/>
      <c r="E497" s="13"/>
      <c r="F497" s="13"/>
    </row>
    <row r="498" spans="2:6" ht="12.5">
      <c r="B498" s="13"/>
      <c r="C498" s="13"/>
      <c r="D498" s="13"/>
      <c r="E498" s="13"/>
      <c r="F498" s="13"/>
    </row>
    <row r="499" spans="2:6" ht="12.5">
      <c r="B499" s="13"/>
      <c r="C499" s="13"/>
      <c r="D499" s="13"/>
      <c r="E499" s="13"/>
      <c r="F499" s="13"/>
    </row>
    <row r="500" spans="2:6" ht="12.5">
      <c r="B500" s="13"/>
      <c r="C500" s="13"/>
      <c r="D500" s="13"/>
      <c r="E500" s="13"/>
      <c r="F500" s="13"/>
    </row>
    <row r="501" spans="2:6" ht="12.5">
      <c r="B501" s="13"/>
      <c r="C501" s="13"/>
      <c r="D501" s="13"/>
      <c r="E501" s="13"/>
      <c r="F501" s="13"/>
    </row>
    <row r="502" spans="2:6" ht="12.5">
      <c r="B502" s="13"/>
      <c r="C502" s="13"/>
      <c r="D502" s="13"/>
      <c r="E502" s="13"/>
      <c r="F502" s="13"/>
    </row>
    <row r="503" spans="2:6" ht="12.5">
      <c r="B503" s="13"/>
      <c r="C503" s="13"/>
      <c r="D503" s="13"/>
      <c r="E503" s="13"/>
      <c r="F503" s="13"/>
    </row>
    <row r="504" spans="2:6" ht="12.5">
      <c r="B504" s="13"/>
      <c r="C504" s="13"/>
      <c r="D504" s="13"/>
      <c r="E504" s="13"/>
      <c r="F504" s="13"/>
    </row>
    <row r="505" spans="2:6" ht="12.5">
      <c r="B505" s="13"/>
      <c r="C505" s="13"/>
      <c r="D505" s="13"/>
      <c r="E505" s="13"/>
      <c r="F505" s="13"/>
    </row>
    <row r="506" spans="2:6" ht="12.5">
      <c r="B506" s="13"/>
      <c r="C506" s="13"/>
      <c r="D506" s="13"/>
      <c r="E506" s="13"/>
      <c r="F506" s="13"/>
    </row>
    <row r="507" spans="2:6" ht="12.5">
      <c r="B507" s="13"/>
      <c r="C507" s="13"/>
      <c r="D507" s="13"/>
      <c r="E507" s="13"/>
      <c r="F507" s="13"/>
    </row>
    <row r="508" spans="2:6" ht="12.5">
      <c r="B508" s="13"/>
      <c r="C508" s="13"/>
      <c r="D508" s="13"/>
      <c r="E508" s="13"/>
      <c r="F508" s="13"/>
    </row>
    <row r="509" spans="2:6" ht="12.5">
      <c r="B509" s="13"/>
      <c r="C509" s="13"/>
      <c r="D509" s="13"/>
      <c r="E509" s="13"/>
      <c r="F509" s="13"/>
    </row>
    <row r="510" spans="2:6" ht="12.5">
      <c r="B510" s="13"/>
      <c r="C510" s="13"/>
      <c r="D510" s="13"/>
      <c r="E510" s="13"/>
      <c r="F510" s="13"/>
    </row>
    <row r="511" spans="2:6" ht="12.5">
      <c r="B511" s="13"/>
      <c r="C511" s="13"/>
      <c r="D511" s="13"/>
      <c r="E511" s="13"/>
      <c r="F511" s="13"/>
    </row>
    <row r="512" spans="2:6" ht="12.5">
      <c r="B512" s="13"/>
      <c r="C512" s="13"/>
      <c r="D512" s="13"/>
      <c r="E512" s="13"/>
      <c r="F512" s="13"/>
    </row>
    <row r="513" spans="2:6" ht="12.5">
      <c r="B513" s="13"/>
      <c r="C513" s="13"/>
      <c r="D513" s="13"/>
      <c r="E513" s="13"/>
      <c r="F513" s="13"/>
    </row>
    <row r="514" spans="2:6" ht="12.5">
      <c r="B514" s="13"/>
      <c r="C514" s="13"/>
      <c r="D514" s="13"/>
      <c r="E514" s="13"/>
      <c r="F514" s="13"/>
    </row>
    <row r="515" spans="2:6" ht="12.5">
      <c r="B515" s="13"/>
      <c r="C515" s="13"/>
      <c r="D515" s="13"/>
      <c r="E515" s="13"/>
      <c r="F515" s="13"/>
    </row>
    <row r="516" spans="2:6" ht="12.5">
      <c r="B516" s="13"/>
      <c r="C516" s="13"/>
      <c r="D516" s="13"/>
      <c r="E516" s="13"/>
      <c r="F516" s="13"/>
    </row>
    <row r="517" spans="2:6" ht="12.5">
      <c r="B517" s="13"/>
      <c r="C517" s="13"/>
      <c r="D517" s="13"/>
      <c r="E517" s="13"/>
      <c r="F517" s="13"/>
    </row>
    <row r="518" spans="2:6" ht="12.5">
      <c r="B518" s="13"/>
      <c r="C518" s="13"/>
      <c r="D518" s="13"/>
      <c r="E518" s="13"/>
      <c r="F518" s="13"/>
    </row>
    <row r="519" spans="2:6" ht="12.5">
      <c r="B519" s="13"/>
      <c r="C519" s="13"/>
      <c r="D519" s="13"/>
      <c r="E519" s="13"/>
      <c r="F519" s="13"/>
    </row>
    <row r="520" spans="2:6" ht="12.5">
      <c r="B520" s="13"/>
      <c r="C520" s="13"/>
      <c r="D520" s="13"/>
      <c r="E520" s="13"/>
      <c r="F520" s="13"/>
    </row>
    <row r="521" spans="2:6" ht="12.5">
      <c r="B521" s="13"/>
      <c r="C521" s="13"/>
      <c r="D521" s="13"/>
      <c r="E521" s="13"/>
      <c r="F521" s="13"/>
    </row>
    <row r="522" spans="2:6" ht="12.5">
      <c r="B522" s="13"/>
      <c r="C522" s="13"/>
      <c r="D522" s="13"/>
      <c r="E522" s="13"/>
      <c r="F522" s="13"/>
    </row>
    <row r="523" spans="2:6" ht="12.5">
      <c r="B523" s="13"/>
      <c r="C523" s="13"/>
      <c r="D523" s="13"/>
      <c r="E523" s="13"/>
      <c r="F523" s="13"/>
    </row>
    <row r="524" spans="2:6" ht="12.5">
      <c r="B524" s="13"/>
      <c r="C524" s="13"/>
      <c r="D524" s="13"/>
      <c r="E524" s="13"/>
      <c r="F524" s="13"/>
    </row>
    <row r="525" spans="2:6" ht="12.5">
      <c r="B525" s="13"/>
      <c r="C525" s="13"/>
      <c r="D525" s="13"/>
      <c r="E525" s="13"/>
      <c r="F525" s="13"/>
    </row>
    <row r="526" spans="2:6" ht="12.5">
      <c r="B526" s="13"/>
      <c r="C526" s="13"/>
      <c r="D526" s="13"/>
      <c r="E526" s="13"/>
      <c r="F526" s="13"/>
    </row>
    <row r="527" spans="2:6" ht="12.5">
      <c r="B527" s="13"/>
      <c r="C527" s="13"/>
      <c r="D527" s="13"/>
      <c r="E527" s="13"/>
      <c r="F527" s="13"/>
    </row>
    <row r="528" spans="2:6" ht="12.5">
      <c r="B528" s="13"/>
      <c r="C528" s="13"/>
      <c r="D528" s="13"/>
      <c r="E528" s="13"/>
      <c r="F528" s="13"/>
    </row>
    <row r="529" spans="2:6" ht="12.5">
      <c r="B529" s="13"/>
      <c r="C529" s="13"/>
      <c r="D529" s="13"/>
      <c r="E529" s="13"/>
      <c r="F529" s="13"/>
    </row>
    <row r="530" spans="2:6" ht="12.5">
      <c r="B530" s="13"/>
      <c r="C530" s="13"/>
      <c r="D530" s="13"/>
      <c r="E530" s="13"/>
      <c r="F530" s="13"/>
    </row>
    <row r="531" spans="2:6" ht="12.5">
      <c r="B531" s="13"/>
      <c r="C531" s="13"/>
      <c r="D531" s="13"/>
      <c r="E531" s="13"/>
      <c r="F531" s="13"/>
    </row>
    <row r="532" spans="2:6" ht="12.5">
      <c r="B532" s="13"/>
      <c r="C532" s="13"/>
      <c r="D532" s="13"/>
      <c r="E532" s="13"/>
      <c r="F532" s="13"/>
    </row>
    <row r="533" spans="2:6" ht="12.5">
      <c r="B533" s="13"/>
      <c r="C533" s="13"/>
      <c r="D533" s="13"/>
      <c r="E533" s="13"/>
      <c r="F533" s="13"/>
    </row>
    <row r="534" spans="2:6" ht="12.5">
      <c r="B534" s="13"/>
      <c r="C534" s="13"/>
      <c r="D534" s="13"/>
      <c r="E534" s="13"/>
      <c r="F534" s="13"/>
    </row>
    <row r="535" spans="2:6" ht="12.5">
      <c r="B535" s="13"/>
      <c r="C535" s="13"/>
      <c r="D535" s="13"/>
      <c r="E535" s="13"/>
      <c r="F535" s="13"/>
    </row>
    <row r="536" spans="2:6" ht="12.5">
      <c r="B536" s="13"/>
      <c r="C536" s="13"/>
      <c r="D536" s="13"/>
      <c r="E536" s="13"/>
      <c r="F536" s="13"/>
    </row>
    <row r="537" spans="2:6" ht="12.5">
      <c r="B537" s="13"/>
      <c r="C537" s="13"/>
      <c r="D537" s="13"/>
      <c r="E537" s="13"/>
      <c r="F537" s="13"/>
    </row>
    <row r="538" spans="2:6" ht="12.5">
      <c r="B538" s="13"/>
      <c r="C538" s="13"/>
      <c r="D538" s="13"/>
      <c r="E538" s="13"/>
      <c r="F538" s="13"/>
    </row>
    <row r="539" spans="2:6" ht="12.5">
      <c r="B539" s="13"/>
      <c r="C539" s="13"/>
      <c r="D539" s="13"/>
      <c r="E539" s="13"/>
      <c r="F539" s="13"/>
    </row>
    <row r="540" spans="2:6" ht="12.5">
      <c r="B540" s="13"/>
      <c r="C540" s="13"/>
      <c r="D540" s="13"/>
      <c r="E540" s="13"/>
      <c r="F540" s="13"/>
    </row>
    <row r="541" spans="2:6" ht="12.5">
      <c r="B541" s="13"/>
      <c r="C541" s="13"/>
      <c r="D541" s="13"/>
      <c r="E541" s="13"/>
      <c r="F541" s="13"/>
    </row>
    <row r="542" spans="2:6" ht="12.5">
      <c r="B542" s="13"/>
      <c r="C542" s="13"/>
      <c r="D542" s="13"/>
      <c r="E542" s="13"/>
      <c r="F542" s="13"/>
    </row>
    <row r="543" spans="2:6" ht="12.5">
      <c r="B543" s="13"/>
      <c r="C543" s="13"/>
      <c r="D543" s="13"/>
      <c r="E543" s="13"/>
      <c r="F543" s="13"/>
    </row>
    <row r="544" spans="2:6" ht="12.5">
      <c r="B544" s="13"/>
      <c r="C544" s="13"/>
      <c r="D544" s="13"/>
      <c r="E544" s="13"/>
      <c r="F544" s="13"/>
    </row>
    <row r="545" spans="2:6" ht="12.5">
      <c r="B545" s="13"/>
      <c r="C545" s="13"/>
      <c r="D545" s="13"/>
      <c r="E545" s="13"/>
      <c r="F545" s="13"/>
    </row>
    <row r="546" spans="2:6" ht="12.5">
      <c r="B546" s="13"/>
      <c r="C546" s="13"/>
      <c r="D546" s="13"/>
      <c r="E546" s="13"/>
      <c r="F546" s="13"/>
    </row>
    <row r="547" spans="2:6" ht="12.5">
      <c r="B547" s="13"/>
      <c r="C547" s="13"/>
      <c r="D547" s="13"/>
      <c r="E547" s="13"/>
      <c r="F547" s="13"/>
    </row>
    <row r="548" spans="2:6" ht="12.5">
      <c r="B548" s="13"/>
      <c r="C548" s="13"/>
      <c r="D548" s="13"/>
      <c r="E548" s="13"/>
      <c r="F548" s="13"/>
    </row>
    <row r="549" spans="2:6" ht="12.5">
      <c r="B549" s="13"/>
      <c r="C549" s="13"/>
      <c r="D549" s="13"/>
      <c r="E549" s="13"/>
      <c r="F549" s="13"/>
    </row>
    <row r="550" spans="2:6" ht="12.5">
      <c r="B550" s="13"/>
      <c r="C550" s="13"/>
      <c r="D550" s="13"/>
      <c r="E550" s="13"/>
      <c r="F550" s="13"/>
    </row>
    <row r="551" spans="2:6" ht="12.5">
      <c r="B551" s="13"/>
      <c r="C551" s="13"/>
      <c r="D551" s="13"/>
      <c r="E551" s="13"/>
      <c r="F551" s="13"/>
    </row>
    <row r="552" spans="2:6" ht="12.5">
      <c r="B552" s="13"/>
      <c r="C552" s="13"/>
      <c r="D552" s="13"/>
      <c r="E552" s="13"/>
      <c r="F552" s="13"/>
    </row>
    <row r="553" spans="2:6" ht="12.5">
      <c r="B553" s="13"/>
      <c r="C553" s="13"/>
      <c r="D553" s="13"/>
      <c r="E553" s="13"/>
      <c r="F553" s="13"/>
    </row>
    <row r="554" spans="2:6" ht="12.5">
      <c r="B554" s="13"/>
      <c r="C554" s="13"/>
      <c r="D554" s="13"/>
      <c r="E554" s="13"/>
      <c r="F554" s="13"/>
    </row>
    <row r="555" spans="2:6" ht="12.5">
      <c r="B555" s="13"/>
      <c r="C555" s="13"/>
      <c r="D555" s="13"/>
      <c r="E555" s="13"/>
      <c r="F555" s="13"/>
    </row>
    <row r="556" spans="2:6" ht="12.5">
      <c r="B556" s="13"/>
      <c r="C556" s="13"/>
      <c r="D556" s="13"/>
      <c r="E556" s="13"/>
      <c r="F556" s="13"/>
    </row>
    <row r="557" spans="2:6" ht="12.5">
      <c r="B557" s="13"/>
      <c r="C557" s="13"/>
      <c r="D557" s="13"/>
      <c r="E557" s="13"/>
      <c r="F557" s="13"/>
    </row>
    <row r="558" spans="2:6" ht="12.5">
      <c r="B558" s="13"/>
      <c r="C558" s="13"/>
      <c r="D558" s="13"/>
      <c r="E558" s="13"/>
      <c r="F558" s="13"/>
    </row>
    <row r="559" spans="2:6" ht="12.5">
      <c r="B559" s="13"/>
      <c r="C559" s="13"/>
      <c r="D559" s="13"/>
      <c r="E559" s="13"/>
      <c r="F559" s="13"/>
    </row>
    <row r="560" spans="2:6" ht="12.5">
      <c r="B560" s="13"/>
      <c r="C560" s="13"/>
      <c r="D560" s="13"/>
      <c r="E560" s="13"/>
      <c r="F560" s="13"/>
    </row>
    <row r="561" spans="2:6" ht="12.5">
      <c r="B561" s="13"/>
      <c r="C561" s="13"/>
      <c r="D561" s="13"/>
      <c r="E561" s="13"/>
      <c r="F561" s="13"/>
    </row>
    <row r="562" spans="2:6" ht="12.5">
      <c r="B562" s="13"/>
      <c r="C562" s="13"/>
      <c r="D562" s="13"/>
      <c r="E562" s="13"/>
      <c r="F562" s="13"/>
    </row>
    <row r="563" spans="2:6" ht="12.5">
      <c r="B563" s="13"/>
      <c r="C563" s="13"/>
      <c r="D563" s="13"/>
      <c r="E563" s="13"/>
      <c r="F563" s="13"/>
    </row>
    <row r="564" spans="2:6" ht="12.5">
      <c r="B564" s="13"/>
      <c r="C564" s="13"/>
      <c r="D564" s="13"/>
      <c r="E564" s="13"/>
      <c r="F564" s="13"/>
    </row>
    <row r="565" spans="2:6" ht="12.5">
      <c r="B565" s="13"/>
      <c r="C565" s="13"/>
      <c r="D565" s="13"/>
      <c r="E565" s="13"/>
      <c r="F565" s="13"/>
    </row>
    <row r="566" spans="2:6" ht="12.5">
      <c r="B566" s="13"/>
      <c r="C566" s="13"/>
      <c r="D566" s="13"/>
      <c r="E566" s="13"/>
      <c r="F566" s="13"/>
    </row>
    <row r="567" spans="2:6" ht="12.5">
      <c r="B567" s="13"/>
      <c r="C567" s="13"/>
      <c r="D567" s="13"/>
      <c r="E567" s="13"/>
      <c r="F567" s="13"/>
    </row>
    <row r="568" spans="2:6" ht="12.5">
      <c r="B568" s="13"/>
      <c r="C568" s="13"/>
      <c r="D568" s="13"/>
      <c r="E568" s="13"/>
      <c r="F568" s="13"/>
    </row>
    <row r="569" spans="2:6" ht="12.5">
      <c r="B569" s="13"/>
      <c r="C569" s="13"/>
      <c r="D569" s="13"/>
      <c r="E569" s="13"/>
      <c r="F569" s="13"/>
    </row>
    <row r="570" spans="2:6" ht="12.5">
      <c r="B570" s="13"/>
      <c r="C570" s="13"/>
      <c r="D570" s="13"/>
      <c r="E570" s="13"/>
      <c r="F570" s="13"/>
    </row>
    <row r="571" spans="2:6" ht="12.5">
      <c r="B571" s="13"/>
      <c r="C571" s="13"/>
      <c r="D571" s="13"/>
      <c r="E571" s="13"/>
      <c r="F571" s="13"/>
    </row>
    <row r="572" spans="2:6" ht="12.5">
      <c r="B572" s="13"/>
      <c r="C572" s="13"/>
      <c r="D572" s="13"/>
      <c r="E572" s="13"/>
      <c r="F572" s="13"/>
    </row>
    <row r="573" spans="2:6" ht="12.5">
      <c r="B573" s="13"/>
      <c r="C573" s="13"/>
      <c r="D573" s="13"/>
      <c r="E573" s="13"/>
      <c r="F573" s="13"/>
    </row>
    <row r="574" spans="2:6" ht="12.5">
      <c r="B574" s="13"/>
      <c r="C574" s="13"/>
      <c r="D574" s="13"/>
      <c r="E574" s="13"/>
      <c r="F574" s="13"/>
    </row>
    <row r="575" spans="2:6" ht="12.5">
      <c r="B575" s="13"/>
      <c r="C575" s="13"/>
      <c r="D575" s="13"/>
      <c r="E575" s="13"/>
      <c r="F575" s="13"/>
    </row>
    <row r="576" spans="2:6" ht="12.5">
      <c r="B576" s="13"/>
      <c r="C576" s="13"/>
      <c r="D576" s="13"/>
      <c r="E576" s="13"/>
      <c r="F576" s="13"/>
    </row>
    <row r="577" spans="2:6" ht="12.5">
      <c r="B577" s="13"/>
      <c r="C577" s="13"/>
      <c r="D577" s="13"/>
      <c r="E577" s="13"/>
      <c r="F577" s="13"/>
    </row>
    <row r="578" spans="2:6" ht="12.5">
      <c r="B578" s="13"/>
      <c r="C578" s="13"/>
      <c r="D578" s="13"/>
      <c r="E578" s="13"/>
      <c r="F578" s="13"/>
    </row>
    <row r="579" spans="2:6" ht="12.5">
      <c r="B579" s="13"/>
      <c r="C579" s="13"/>
      <c r="D579" s="13"/>
      <c r="E579" s="13"/>
      <c r="F579" s="13"/>
    </row>
    <row r="580" spans="2:6" ht="12.5">
      <c r="B580" s="13"/>
      <c r="C580" s="13"/>
      <c r="D580" s="13"/>
      <c r="E580" s="13"/>
      <c r="F580" s="13"/>
    </row>
    <row r="581" spans="2:6" ht="12.5">
      <c r="B581" s="13"/>
      <c r="C581" s="13"/>
      <c r="D581" s="13"/>
      <c r="E581" s="13"/>
      <c r="F581" s="13"/>
    </row>
    <row r="582" spans="2:6" ht="12.5">
      <c r="B582" s="13"/>
      <c r="C582" s="13"/>
      <c r="D582" s="13"/>
      <c r="E582" s="13"/>
      <c r="F582" s="13"/>
    </row>
    <row r="583" spans="2:6" ht="12.5">
      <c r="B583" s="13"/>
      <c r="C583" s="13"/>
      <c r="D583" s="13"/>
      <c r="E583" s="13"/>
      <c r="F583" s="13"/>
    </row>
    <row r="584" spans="2:6" ht="12.5">
      <c r="B584" s="13"/>
      <c r="C584" s="13"/>
      <c r="D584" s="13"/>
      <c r="E584" s="13"/>
      <c r="F584" s="13"/>
    </row>
    <row r="585" spans="2:6" ht="12.5">
      <c r="B585" s="13"/>
      <c r="C585" s="13"/>
      <c r="D585" s="13"/>
      <c r="E585" s="13"/>
      <c r="F585" s="13"/>
    </row>
    <row r="586" spans="2:6" ht="12.5">
      <c r="B586" s="13"/>
      <c r="C586" s="13"/>
      <c r="D586" s="13"/>
      <c r="E586" s="13"/>
      <c r="F586" s="13"/>
    </row>
    <row r="587" spans="2:6" ht="12.5">
      <c r="B587" s="13"/>
      <c r="C587" s="13"/>
      <c r="D587" s="13"/>
      <c r="E587" s="13"/>
      <c r="F587" s="13"/>
    </row>
    <row r="588" spans="2:6" ht="12.5">
      <c r="B588" s="13"/>
      <c r="C588" s="13"/>
      <c r="D588" s="13"/>
      <c r="E588" s="13"/>
      <c r="F588" s="13"/>
    </row>
    <row r="589" spans="2:6" ht="12.5">
      <c r="B589" s="13"/>
      <c r="C589" s="13"/>
      <c r="D589" s="13"/>
      <c r="E589" s="13"/>
      <c r="F589" s="13"/>
    </row>
    <row r="590" spans="2:6" ht="12.5">
      <c r="B590" s="13"/>
      <c r="C590" s="13"/>
      <c r="D590" s="13"/>
      <c r="E590" s="13"/>
      <c r="F590" s="13"/>
    </row>
    <row r="591" spans="2:6" ht="12.5">
      <c r="B591" s="13"/>
      <c r="C591" s="13"/>
      <c r="D591" s="13"/>
      <c r="E591" s="13"/>
      <c r="F591" s="13"/>
    </row>
    <row r="592" spans="2:6" ht="12.5">
      <c r="B592" s="13"/>
      <c r="C592" s="13"/>
      <c r="D592" s="13"/>
      <c r="E592" s="13"/>
      <c r="F592" s="13"/>
    </row>
    <row r="593" spans="2:6" ht="12.5">
      <c r="B593" s="13"/>
      <c r="C593" s="13"/>
      <c r="D593" s="13"/>
      <c r="E593" s="13"/>
      <c r="F593" s="13"/>
    </row>
    <row r="594" spans="2:6" ht="12.5">
      <c r="B594" s="13"/>
      <c r="C594" s="13"/>
      <c r="D594" s="13"/>
      <c r="E594" s="13"/>
      <c r="F594" s="13"/>
    </row>
    <row r="595" spans="2:6" ht="12.5">
      <c r="B595" s="13"/>
      <c r="C595" s="13"/>
      <c r="D595" s="13"/>
      <c r="E595" s="13"/>
      <c r="F595" s="13"/>
    </row>
    <row r="596" spans="2:6" ht="12.5">
      <c r="B596" s="13"/>
      <c r="C596" s="13"/>
      <c r="D596" s="13"/>
      <c r="E596" s="13"/>
      <c r="F596" s="13"/>
    </row>
    <row r="597" spans="2:6" ht="12.5">
      <c r="B597" s="13"/>
      <c r="C597" s="13"/>
      <c r="D597" s="13"/>
      <c r="E597" s="13"/>
      <c r="F597" s="13"/>
    </row>
    <row r="598" spans="2:6" ht="12.5">
      <c r="B598" s="13"/>
      <c r="C598" s="13"/>
      <c r="D598" s="13"/>
      <c r="E598" s="13"/>
      <c r="F598" s="13"/>
    </row>
    <row r="599" spans="2:6" ht="12.5">
      <c r="B599" s="13"/>
      <c r="C599" s="13"/>
      <c r="D599" s="13"/>
      <c r="E599" s="13"/>
      <c r="F599" s="13"/>
    </row>
    <row r="600" spans="2:6" ht="12.5">
      <c r="B600" s="13"/>
      <c r="C600" s="13"/>
      <c r="D600" s="13"/>
      <c r="E600" s="13"/>
      <c r="F600" s="13"/>
    </row>
    <row r="601" spans="2:6" ht="12.5">
      <c r="B601" s="13"/>
      <c r="C601" s="13"/>
      <c r="D601" s="13"/>
      <c r="E601" s="13"/>
      <c r="F601" s="13"/>
    </row>
    <row r="602" spans="2:6" ht="12.5">
      <c r="B602" s="13"/>
      <c r="C602" s="13"/>
      <c r="D602" s="13"/>
      <c r="E602" s="13"/>
      <c r="F602" s="13"/>
    </row>
    <row r="603" spans="2:6" ht="12.5">
      <c r="B603" s="13"/>
      <c r="C603" s="13"/>
      <c r="D603" s="13"/>
      <c r="E603" s="13"/>
      <c r="F603" s="13"/>
    </row>
    <row r="604" spans="2:6" ht="12.5">
      <c r="B604" s="13"/>
      <c r="C604" s="13"/>
      <c r="D604" s="13"/>
      <c r="E604" s="13"/>
      <c r="F604" s="13"/>
    </row>
    <row r="605" spans="2:6" ht="12.5">
      <c r="B605" s="13"/>
      <c r="C605" s="13"/>
      <c r="D605" s="13"/>
      <c r="E605" s="13"/>
      <c r="F605" s="13"/>
    </row>
    <row r="606" spans="2:6" ht="12.5">
      <c r="B606" s="13"/>
      <c r="C606" s="13"/>
      <c r="D606" s="13"/>
      <c r="E606" s="13"/>
      <c r="F606" s="13"/>
    </row>
    <row r="607" spans="2:6" ht="12.5">
      <c r="B607" s="13"/>
      <c r="C607" s="13"/>
      <c r="D607" s="13"/>
      <c r="E607" s="13"/>
      <c r="F607" s="13"/>
    </row>
    <row r="608" spans="2:6" ht="12.5">
      <c r="B608" s="13"/>
      <c r="C608" s="13"/>
      <c r="D608" s="13"/>
      <c r="E608" s="13"/>
      <c r="F608" s="13"/>
    </row>
    <row r="609" spans="2:6" ht="12.5">
      <c r="B609" s="13"/>
      <c r="C609" s="13"/>
      <c r="D609" s="13"/>
      <c r="E609" s="13"/>
      <c r="F609" s="13"/>
    </row>
    <row r="610" spans="2:6" ht="12.5">
      <c r="B610" s="13"/>
      <c r="C610" s="13"/>
      <c r="D610" s="13"/>
      <c r="E610" s="13"/>
      <c r="F610" s="13"/>
    </row>
    <row r="611" spans="2:6" ht="12.5">
      <c r="B611" s="13"/>
      <c r="C611" s="13"/>
      <c r="D611" s="13"/>
      <c r="E611" s="13"/>
      <c r="F611" s="13"/>
    </row>
    <row r="612" spans="2:6" ht="12.5">
      <c r="B612" s="13"/>
      <c r="C612" s="13"/>
      <c r="D612" s="13"/>
      <c r="E612" s="13"/>
      <c r="F612" s="13"/>
    </row>
    <row r="613" spans="2:6" ht="12.5">
      <c r="B613" s="13"/>
      <c r="C613" s="13"/>
      <c r="D613" s="13"/>
      <c r="E613" s="13"/>
      <c r="F613" s="13"/>
    </row>
    <row r="614" spans="2:6" ht="12.5">
      <c r="B614" s="13"/>
      <c r="C614" s="13"/>
      <c r="D614" s="13"/>
      <c r="E614" s="13"/>
      <c r="F614" s="13"/>
    </row>
    <row r="615" spans="2:6" ht="12.5">
      <c r="B615" s="13"/>
      <c r="C615" s="13"/>
      <c r="D615" s="13"/>
      <c r="E615" s="13"/>
      <c r="F615" s="13"/>
    </row>
    <row r="616" spans="2:6" ht="12.5">
      <c r="B616" s="13"/>
      <c r="C616" s="13"/>
      <c r="D616" s="13"/>
      <c r="E616" s="13"/>
      <c r="F616" s="13"/>
    </row>
    <row r="617" spans="2:6" ht="12.5">
      <c r="B617" s="13"/>
      <c r="C617" s="13"/>
      <c r="D617" s="13"/>
      <c r="E617" s="13"/>
      <c r="F617" s="13"/>
    </row>
    <row r="618" spans="2:6" ht="12.5">
      <c r="B618" s="13"/>
      <c r="C618" s="13"/>
      <c r="D618" s="13"/>
      <c r="E618" s="13"/>
      <c r="F618" s="13"/>
    </row>
    <row r="619" spans="2:6" ht="12.5">
      <c r="B619" s="13"/>
      <c r="C619" s="13"/>
      <c r="D619" s="13"/>
      <c r="E619" s="13"/>
      <c r="F619" s="13"/>
    </row>
    <row r="620" spans="2:6" ht="12.5">
      <c r="B620" s="13"/>
      <c r="C620" s="13"/>
      <c r="D620" s="13"/>
      <c r="E620" s="13"/>
      <c r="F620" s="13"/>
    </row>
    <row r="621" spans="2:6" ht="12.5">
      <c r="B621" s="13"/>
      <c r="C621" s="13"/>
      <c r="D621" s="13"/>
      <c r="E621" s="13"/>
      <c r="F621" s="13"/>
    </row>
    <row r="622" spans="2:6" ht="12.5">
      <c r="B622" s="13"/>
      <c r="C622" s="13"/>
      <c r="D622" s="13"/>
      <c r="E622" s="13"/>
      <c r="F622" s="13"/>
    </row>
    <row r="623" spans="2:6" ht="12.5">
      <c r="B623" s="13"/>
      <c r="C623" s="13"/>
      <c r="D623" s="13"/>
      <c r="E623" s="13"/>
      <c r="F623" s="13"/>
    </row>
    <row r="624" spans="2:6" ht="12.5">
      <c r="B624" s="13"/>
      <c r="C624" s="13"/>
      <c r="D624" s="13"/>
      <c r="E624" s="13"/>
      <c r="F624" s="13"/>
    </row>
    <row r="625" spans="2:6" ht="12.5">
      <c r="B625" s="13"/>
      <c r="C625" s="13"/>
      <c r="D625" s="13"/>
      <c r="E625" s="13"/>
      <c r="F625" s="13"/>
    </row>
    <row r="626" spans="2:6" ht="12.5">
      <c r="B626" s="13"/>
      <c r="C626" s="13"/>
      <c r="D626" s="13"/>
      <c r="E626" s="13"/>
      <c r="F626" s="13"/>
    </row>
    <row r="627" spans="2:6" ht="12.5">
      <c r="B627" s="13"/>
      <c r="C627" s="13"/>
      <c r="D627" s="13"/>
      <c r="E627" s="13"/>
      <c r="F627" s="13"/>
    </row>
    <row r="628" spans="2:6" ht="12.5">
      <c r="B628" s="13"/>
      <c r="C628" s="13"/>
      <c r="D628" s="13"/>
      <c r="E628" s="13"/>
      <c r="F628" s="13"/>
    </row>
    <row r="629" spans="2:6" ht="12.5">
      <c r="B629" s="13"/>
      <c r="C629" s="13"/>
      <c r="D629" s="13"/>
      <c r="E629" s="13"/>
      <c r="F629" s="13"/>
    </row>
    <row r="630" spans="2:6" ht="12.5">
      <c r="B630" s="13"/>
      <c r="C630" s="13"/>
      <c r="D630" s="13"/>
      <c r="E630" s="13"/>
      <c r="F630" s="13"/>
    </row>
    <row r="631" spans="2:6" ht="12.5">
      <c r="B631" s="13"/>
      <c r="C631" s="13"/>
      <c r="D631" s="13"/>
      <c r="E631" s="13"/>
      <c r="F631" s="13"/>
    </row>
    <row r="632" spans="2:6" ht="12.5">
      <c r="B632" s="13"/>
      <c r="C632" s="13"/>
      <c r="D632" s="13"/>
      <c r="E632" s="13"/>
      <c r="F632" s="13"/>
    </row>
    <row r="633" spans="2:6" ht="12.5">
      <c r="B633" s="13"/>
      <c r="C633" s="13"/>
      <c r="D633" s="13"/>
      <c r="E633" s="13"/>
      <c r="F633" s="13"/>
    </row>
    <row r="634" spans="2:6" ht="12.5">
      <c r="B634" s="13"/>
      <c r="C634" s="13"/>
      <c r="D634" s="13"/>
      <c r="E634" s="13"/>
      <c r="F634" s="13"/>
    </row>
    <row r="635" spans="2:6" ht="12.5">
      <c r="B635" s="13"/>
      <c r="C635" s="13"/>
      <c r="D635" s="13"/>
      <c r="E635" s="13"/>
      <c r="F635" s="13"/>
    </row>
    <row r="636" spans="2:6" ht="12.5">
      <c r="B636" s="13"/>
      <c r="C636" s="13"/>
      <c r="D636" s="13"/>
      <c r="E636" s="13"/>
      <c r="F636" s="13"/>
    </row>
    <row r="637" spans="2:6" ht="12.5">
      <c r="B637" s="13"/>
      <c r="C637" s="13"/>
      <c r="D637" s="13"/>
      <c r="E637" s="13"/>
      <c r="F637" s="13"/>
    </row>
    <row r="638" spans="2:6" ht="12.5">
      <c r="B638" s="13"/>
      <c r="C638" s="13"/>
      <c r="D638" s="13"/>
      <c r="E638" s="13"/>
      <c r="F638" s="13"/>
    </row>
    <row r="639" spans="2:6" ht="12.5">
      <c r="B639" s="13"/>
      <c r="C639" s="13"/>
      <c r="D639" s="13"/>
      <c r="E639" s="13"/>
      <c r="F639" s="13"/>
    </row>
    <row r="640" spans="2:6" ht="12.5">
      <c r="B640" s="13"/>
      <c r="C640" s="13"/>
      <c r="D640" s="13"/>
      <c r="E640" s="13"/>
      <c r="F640" s="13"/>
    </row>
    <row r="641" spans="2:6" ht="12.5">
      <c r="B641" s="13"/>
      <c r="C641" s="13"/>
      <c r="D641" s="13"/>
      <c r="E641" s="13"/>
      <c r="F641" s="13"/>
    </row>
    <row r="642" spans="2:6" ht="12.5">
      <c r="B642" s="13"/>
      <c r="C642" s="13"/>
      <c r="D642" s="13"/>
      <c r="E642" s="13"/>
      <c r="F642" s="13"/>
    </row>
    <row r="643" spans="2:6" ht="12.5">
      <c r="B643" s="13"/>
      <c r="C643" s="13"/>
      <c r="D643" s="13"/>
      <c r="E643" s="13"/>
      <c r="F643" s="13"/>
    </row>
    <row r="644" spans="2:6" ht="12.5">
      <c r="B644" s="13"/>
      <c r="C644" s="13"/>
      <c r="D644" s="13"/>
      <c r="E644" s="13"/>
      <c r="F644" s="13"/>
    </row>
    <row r="645" spans="2:6" ht="12.5">
      <c r="B645" s="13"/>
      <c r="C645" s="13"/>
      <c r="D645" s="13"/>
      <c r="E645" s="13"/>
      <c r="F645" s="13"/>
    </row>
    <row r="646" spans="2:6" ht="12.5">
      <c r="B646" s="13"/>
      <c r="C646" s="13"/>
      <c r="D646" s="13"/>
      <c r="E646" s="13"/>
      <c r="F646" s="13"/>
    </row>
    <row r="647" spans="2:6" ht="12.5">
      <c r="B647" s="13"/>
      <c r="C647" s="13"/>
      <c r="D647" s="13"/>
      <c r="E647" s="13"/>
      <c r="F647" s="13"/>
    </row>
    <row r="648" spans="2:6" ht="12.5">
      <c r="B648" s="13"/>
      <c r="C648" s="13"/>
      <c r="D648" s="13"/>
      <c r="E648" s="13"/>
      <c r="F648" s="13"/>
    </row>
    <row r="649" spans="2:6" ht="12.5">
      <c r="B649" s="13"/>
      <c r="C649" s="13"/>
      <c r="D649" s="13"/>
      <c r="E649" s="13"/>
      <c r="F649" s="13"/>
    </row>
    <row r="650" spans="2:6" ht="12.5">
      <c r="B650" s="13"/>
      <c r="C650" s="13"/>
      <c r="D650" s="13"/>
      <c r="E650" s="13"/>
      <c r="F650" s="13"/>
    </row>
    <row r="651" spans="2:6" ht="12.5">
      <c r="B651" s="13"/>
      <c r="C651" s="13"/>
      <c r="D651" s="13"/>
      <c r="E651" s="13"/>
      <c r="F651" s="13"/>
    </row>
    <row r="652" spans="2:6" ht="12.5">
      <c r="B652" s="13"/>
      <c r="C652" s="13"/>
      <c r="D652" s="13"/>
      <c r="E652" s="13"/>
      <c r="F652" s="13"/>
    </row>
    <row r="653" spans="2:6" ht="12.5">
      <c r="B653" s="13"/>
      <c r="C653" s="13"/>
      <c r="D653" s="13"/>
      <c r="E653" s="13"/>
      <c r="F653" s="13"/>
    </row>
    <row r="654" spans="2:6" ht="12.5">
      <c r="B654" s="13"/>
      <c r="C654" s="13"/>
      <c r="D654" s="13"/>
      <c r="E654" s="13"/>
      <c r="F654" s="13"/>
    </row>
    <row r="655" spans="2:6" ht="12.5">
      <c r="B655" s="13"/>
      <c r="C655" s="13"/>
      <c r="D655" s="13"/>
      <c r="E655" s="13"/>
      <c r="F655" s="13"/>
    </row>
    <row r="656" spans="2:6" ht="12.5">
      <c r="B656" s="13"/>
      <c r="C656" s="13"/>
      <c r="D656" s="13"/>
      <c r="E656" s="13"/>
      <c r="F656" s="13"/>
    </row>
    <row r="657" spans="2:6" ht="12.5">
      <c r="B657" s="13"/>
      <c r="C657" s="13"/>
      <c r="D657" s="13"/>
      <c r="E657" s="13"/>
      <c r="F657" s="13"/>
    </row>
    <row r="658" spans="2:6" ht="12.5">
      <c r="B658" s="13"/>
      <c r="C658" s="13"/>
      <c r="D658" s="13"/>
      <c r="E658" s="13"/>
      <c r="F658" s="13"/>
    </row>
    <row r="659" spans="2:6" ht="12.5">
      <c r="B659" s="13"/>
      <c r="C659" s="13"/>
      <c r="D659" s="13"/>
      <c r="E659" s="13"/>
      <c r="F659" s="13"/>
    </row>
    <row r="660" spans="2:6" ht="12.5">
      <c r="B660" s="13"/>
      <c r="C660" s="13"/>
      <c r="D660" s="13"/>
      <c r="E660" s="13"/>
      <c r="F660" s="13"/>
    </row>
    <row r="661" spans="2:6" ht="12.5">
      <c r="B661" s="13"/>
      <c r="C661" s="13"/>
      <c r="D661" s="13"/>
      <c r="E661" s="13"/>
      <c r="F661" s="13"/>
    </row>
    <row r="662" spans="2:6" ht="12.5">
      <c r="B662" s="13"/>
      <c r="C662" s="13"/>
      <c r="D662" s="13"/>
      <c r="E662" s="13"/>
      <c r="F662" s="13"/>
    </row>
    <row r="663" spans="2:6" ht="12.5">
      <c r="B663" s="13"/>
      <c r="C663" s="13"/>
      <c r="D663" s="13"/>
      <c r="E663" s="13"/>
      <c r="F663" s="13"/>
    </row>
    <row r="664" spans="2:6" ht="12.5">
      <c r="B664" s="13"/>
      <c r="C664" s="13"/>
      <c r="D664" s="13"/>
      <c r="E664" s="13"/>
      <c r="F664" s="13"/>
    </row>
    <row r="665" spans="2:6" ht="12.5">
      <c r="B665" s="13"/>
      <c r="C665" s="13"/>
      <c r="D665" s="13"/>
      <c r="E665" s="13"/>
      <c r="F665" s="13"/>
    </row>
    <row r="666" spans="2:6" ht="12.5">
      <c r="B666" s="13"/>
      <c r="C666" s="13"/>
      <c r="D666" s="13"/>
      <c r="E666" s="13"/>
      <c r="F666" s="13"/>
    </row>
    <row r="667" spans="2:6" ht="12.5">
      <c r="B667" s="13"/>
      <c r="C667" s="13"/>
      <c r="D667" s="13"/>
      <c r="E667" s="13"/>
      <c r="F667" s="13"/>
    </row>
    <row r="668" spans="2:6" ht="12.5">
      <c r="B668" s="13"/>
      <c r="C668" s="13"/>
      <c r="D668" s="13"/>
      <c r="E668" s="13"/>
      <c r="F668" s="13"/>
    </row>
    <row r="669" spans="2:6" ht="12.5">
      <c r="B669" s="13"/>
      <c r="C669" s="13"/>
      <c r="D669" s="13"/>
      <c r="E669" s="13"/>
      <c r="F669" s="13"/>
    </row>
    <row r="670" spans="2:6" ht="12.5">
      <c r="B670" s="13"/>
      <c r="C670" s="13"/>
      <c r="D670" s="13"/>
      <c r="E670" s="13"/>
      <c r="F670" s="13"/>
    </row>
    <row r="671" spans="2:6" ht="12.5">
      <c r="B671" s="13"/>
      <c r="C671" s="13"/>
      <c r="D671" s="13"/>
      <c r="E671" s="13"/>
      <c r="F671" s="13"/>
    </row>
    <row r="672" spans="2:6" ht="12.5">
      <c r="B672" s="13"/>
      <c r="C672" s="13"/>
      <c r="D672" s="13"/>
      <c r="E672" s="13"/>
      <c r="F672" s="13"/>
    </row>
    <row r="673" spans="2:6" ht="12.5">
      <c r="B673" s="13"/>
      <c r="C673" s="13"/>
      <c r="D673" s="13"/>
      <c r="E673" s="13"/>
      <c r="F673" s="13"/>
    </row>
    <row r="674" spans="2:6" ht="12.5">
      <c r="B674" s="13"/>
      <c r="C674" s="13"/>
      <c r="D674" s="13"/>
      <c r="E674" s="13"/>
      <c r="F674" s="13"/>
    </row>
    <row r="675" spans="2:6" ht="12.5">
      <c r="B675" s="13"/>
      <c r="C675" s="13"/>
      <c r="D675" s="13"/>
      <c r="E675" s="13"/>
      <c r="F675" s="13"/>
    </row>
    <row r="676" spans="2:6" ht="12.5">
      <c r="B676" s="13"/>
      <c r="C676" s="13"/>
      <c r="D676" s="13"/>
      <c r="E676" s="13"/>
      <c r="F676" s="13"/>
    </row>
    <row r="677" spans="2:6" ht="12.5">
      <c r="B677" s="13"/>
      <c r="C677" s="13"/>
      <c r="D677" s="13"/>
      <c r="E677" s="13"/>
      <c r="F677" s="13"/>
    </row>
    <row r="678" spans="2:6" ht="12.5">
      <c r="B678" s="13"/>
      <c r="C678" s="13"/>
      <c r="D678" s="13"/>
      <c r="E678" s="13"/>
      <c r="F678" s="13"/>
    </row>
    <row r="679" spans="2:6" ht="12.5">
      <c r="B679" s="13"/>
      <c r="C679" s="13"/>
      <c r="D679" s="13"/>
      <c r="E679" s="13"/>
      <c r="F679" s="13"/>
    </row>
    <row r="680" spans="2:6" ht="12.5">
      <c r="B680" s="13"/>
      <c r="C680" s="13"/>
      <c r="D680" s="13"/>
      <c r="E680" s="13"/>
      <c r="F680" s="13"/>
    </row>
    <row r="681" spans="2:6" ht="12.5">
      <c r="B681" s="13"/>
      <c r="C681" s="13"/>
      <c r="D681" s="13"/>
      <c r="E681" s="13"/>
      <c r="F681" s="13"/>
    </row>
    <row r="682" spans="2:6" ht="12.5">
      <c r="B682" s="13"/>
      <c r="C682" s="13"/>
      <c r="D682" s="13"/>
      <c r="E682" s="13"/>
      <c r="F682" s="13"/>
    </row>
    <row r="683" spans="2:6" ht="12.5">
      <c r="B683" s="13"/>
      <c r="C683" s="13"/>
      <c r="D683" s="13"/>
      <c r="E683" s="13"/>
      <c r="F683" s="13"/>
    </row>
    <row r="684" spans="2:6" ht="12.5">
      <c r="B684" s="13"/>
      <c r="C684" s="13"/>
      <c r="D684" s="13"/>
      <c r="E684" s="13"/>
      <c r="F684" s="13"/>
    </row>
    <row r="685" spans="2:6" ht="12.5">
      <c r="B685" s="13"/>
      <c r="C685" s="13"/>
      <c r="D685" s="13"/>
      <c r="E685" s="13"/>
      <c r="F685" s="13"/>
    </row>
    <row r="686" spans="2:6" ht="12.5">
      <c r="B686" s="13"/>
      <c r="C686" s="13"/>
      <c r="D686" s="13"/>
      <c r="E686" s="13"/>
      <c r="F686" s="13"/>
    </row>
    <row r="687" spans="2:6" ht="12.5">
      <c r="B687" s="13"/>
      <c r="C687" s="13"/>
      <c r="D687" s="13"/>
      <c r="E687" s="13"/>
      <c r="F687" s="13"/>
    </row>
    <row r="688" spans="2:6" ht="12.5">
      <c r="B688" s="13"/>
      <c r="C688" s="13"/>
      <c r="D688" s="13"/>
      <c r="E688" s="13"/>
      <c r="F688" s="13"/>
    </row>
    <row r="689" spans="2:6" ht="12.5">
      <c r="B689" s="13"/>
      <c r="C689" s="13"/>
      <c r="D689" s="13"/>
      <c r="E689" s="13"/>
      <c r="F689" s="13"/>
    </row>
    <row r="690" spans="2:6" ht="12.5">
      <c r="B690" s="13"/>
      <c r="C690" s="13"/>
      <c r="D690" s="13"/>
      <c r="E690" s="13"/>
      <c r="F690" s="13"/>
    </row>
    <row r="691" spans="2:6" ht="12.5">
      <c r="B691" s="13"/>
      <c r="C691" s="13"/>
      <c r="D691" s="13"/>
      <c r="E691" s="13"/>
      <c r="F691" s="13"/>
    </row>
    <row r="692" spans="2:6" ht="12.5">
      <c r="B692" s="13"/>
      <c r="C692" s="13"/>
      <c r="D692" s="13"/>
      <c r="E692" s="13"/>
      <c r="F692" s="13"/>
    </row>
    <row r="693" spans="2:6" ht="12.5">
      <c r="B693" s="13"/>
      <c r="C693" s="13"/>
      <c r="D693" s="13"/>
      <c r="E693" s="13"/>
      <c r="F693" s="13"/>
    </row>
    <row r="694" spans="2:6" ht="12.5">
      <c r="B694" s="13"/>
      <c r="C694" s="13"/>
      <c r="D694" s="13"/>
      <c r="E694" s="13"/>
      <c r="F694" s="13"/>
    </row>
    <row r="695" spans="2:6" ht="12.5">
      <c r="B695" s="13"/>
      <c r="C695" s="13"/>
      <c r="D695" s="13"/>
      <c r="E695" s="13"/>
      <c r="F695" s="13"/>
    </row>
    <row r="696" spans="2:6" ht="12.5">
      <c r="B696" s="13"/>
      <c r="C696" s="13"/>
      <c r="D696" s="13"/>
      <c r="E696" s="13"/>
      <c r="F696" s="13"/>
    </row>
    <row r="697" spans="2:6" ht="12.5">
      <c r="B697" s="13"/>
      <c r="C697" s="13"/>
      <c r="D697" s="13"/>
      <c r="E697" s="13"/>
      <c r="F697" s="13"/>
    </row>
    <row r="698" spans="2:6" ht="12.5">
      <c r="B698" s="13"/>
      <c r="C698" s="13"/>
      <c r="D698" s="13"/>
      <c r="E698" s="13"/>
      <c r="F698" s="13"/>
    </row>
    <row r="699" spans="2:6" ht="12.5">
      <c r="B699" s="13"/>
      <c r="C699" s="13"/>
      <c r="D699" s="13"/>
      <c r="E699" s="13"/>
      <c r="F699" s="13"/>
    </row>
    <row r="700" spans="2:6" ht="12.5">
      <c r="B700" s="13"/>
      <c r="C700" s="13"/>
      <c r="D700" s="13"/>
      <c r="E700" s="13"/>
      <c r="F700" s="13"/>
    </row>
    <row r="701" spans="2:6" ht="12.5">
      <c r="B701" s="13"/>
      <c r="C701" s="13"/>
      <c r="D701" s="13"/>
      <c r="E701" s="13"/>
      <c r="F701" s="13"/>
    </row>
    <row r="702" spans="2:6" ht="12.5">
      <c r="B702" s="13"/>
      <c r="C702" s="13"/>
      <c r="D702" s="13"/>
      <c r="E702" s="13"/>
      <c r="F702" s="13"/>
    </row>
    <row r="703" spans="2:6" ht="12.5">
      <c r="B703" s="13"/>
      <c r="C703" s="13"/>
      <c r="D703" s="13"/>
      <c r="E703" s="13"/>
      <c r="F703" s="13"/>
    </row>
    <row r="704" spans="2:6" ht="12.5">
      <c r="B704" s="13"/>
      <c r="C704" s="13"/>
      <c r="D704" s="13"/>
      <c r="E704" s="13"/>
      <c r="F704" s="13"/>
    </row>
    <row r="705" spans="2:6" ht="12.5">
      <c r="B705" s="13"/>
      <c r="C705" s="13"/>
      <c r="D705" s="13"/>
      <c r="E705" s="13"/>
      <c r="F705" s="13"/>
    </row>
    <row r="706" spans="2:6" ht="12.5">
      <c r="B706" s="13"/>
      <c r="C706" s="13"/>
      <c r="D706" s="13"/>
      <c r="E706" s="13"/>
      <c r="F706" s="13"/>
    </row>
    <row r="707" spans="2:6" ht="12.5">
      <c r="B707" s="13"/>
      <c r="C707" s="13"/>
      <c r="D707" s="13"/>
      <c r="E707" s="13"/>
      <c r="F707" s="13"/>
    </row>
    <row r="708" spans="2:6" ht="12.5">
      <c r="B708" s="13"/>
      <c r="C708" s="13"/>
      <c r="D708" s="13"/>
      <c r="E708" s="13"/>
      <c r="F708" s="13"/>
    </row>
    <row r="709" spans="2:6" ht="12.5">
      <c r="B709" s="13"/>
      <c r="C709" s="13"/>
      <c r="D709" s="13"/>
      <c r="E709" s="13"/>
      <c r="F709" s="13"/>
    </row>
    <row r="710" spans="2:6" ht="12.5">
      <c r="B710" s="13"/>
      <c r="C710" s="13"/>
      <c r="D710" s="13"/>
      <c r="E710" s="13"/>
      <c r="F710" s="13"/>
    </row>
    <row r="711" spans="2:6" ht="12.5">
      <c r="B711" s="13"/>
      <c r="C711" s="13"/>
      <c r="D711" s="13"/>
      <c r="E711" s="13"/>
      <c r="F711" s="13"/>
    </row>
    <row r="712" spans="2:6" ht="12.5">
      <c r="B712" s="13"/>
      <c r="C712" s="13"/>
      <c r="D712" s="13"/>
      <c r="E712" s="13"/>
      <c r="F712" s="13"/>
    </row>
    <row r="713" spans="2:6" ht="12.5">
      <c r="B713" s="13"/>
      <c r="C713" s="13"/>
      <c r="D713" s="13"/>
      <c r="E713" s="13"/>
      <c r="F713" s="13"/>
    </row>
    <row r="714" spans="2:6" ht="12.5">
      <c r="B714" s="13"/>
      <c r="C714" s="13"/>
      <c r="D714" s="13"/>
      <c r="E714" s="13"/>
      <c r="F714" s="13"/>
    </row>
    <row r="715" spans="2:6" ht="12.5">
      <c r="B715" s="13"/>
      <c r="C715" s="13"/>
      <c r="D715" s="13"/>
      <c r="E715" s="13"/>
      <c r="F715" s="13"/>
    </row>
    <row r="716" spans="2:6" ht="12.5">
      <c r="B716" s="13"/>
      <c r="C716" s="13"/>
      <c r="D716" s="13"/>
      <c r="E716" s="13"/>
      <c r="F716" s="13"/>
    </row>
    <row r="717" spans="2:6" ht="12.5">
      <c r="B717" s="13"/>
      <c r="C717" s="13"/>
      <c r="D717" s="13"/>
      <c r="E717" s="13"/>
      <c r="F717" s="13"/>
    </row>
    <row r="718" spans="2:6" ht="12.5">
      <c r="B718" s="13"/>
      <c r="C718" s="13"/>
      <c r="D718" s="13"/>
      <c r="E718" s="13"/>
      <c r="F718" s="13"/>
    </row>
    <row r="719" spans="2:6" ht="12.5">
      <c r="B719" s="13"/>
      <c r="C719" s="13"/>
      <c r="D719" s="13"/>
      <c r="E719" s="13"/>
      <c r="F719" s="13"/>
    </row>
    <row r="720" spans="2:6" ht="12.5">
      <c r="B720" s="13"/>
      <c r="C720" s="13"/>
      <c r="D720" s="13"/>
      <c r="E720" s="13"/>
      <c r="F720" s="13"/>
    </row>
    <row r="721" spans="2:6" ht="12.5">
      <c r="B721" s="13"/>
      <c r="C721" s="13"/>
      <c r="D721" s="13"/>
      <c r="E721" s="13"/>
      <c r="F721" s="13"/>
    </row>
    <row r="722" spans="2:6" ht="12.5">
      <c r="B722" s="13"/>
      <c r="C722" s="13"/>
      <c r="D722" s="13"/>
      <c r="E722" s="13"/>
      <c r="F722" s="13"/>
    </row>
    <row r="723" spans="2:6" ht="12.5">
      <c r="B723" s="13"/>
      <c r="C723" s="13"/>
      <c r="D723" s="13"/>
      <c r="E723" s="13"/>
      <c r="F723" s="13"/>
    </row>
    <row r="724" spans="2:6" ht="12.5">
      <c r="B724" s="13"/>
      <c r="C724" s="13"/>
      <c r="D724" s="13"/>
      <c r="E724" s="13"/>
      <c r="F724" s="13"/>
    </row>
    <row r="725" spans="2:6" ht="12.5">
      <c r="B725" s="13"/>
      <c r="C725" s="13"/>
      <c r="D725" s="13"/>
      <c r="E725" s="13"/>
      <c r="F725" s="13"/>
    </row>
    <row r="726" spans="2:6" ht="12.5">
      <c r="B726" s="13"/>
      <c r="C726" s="13"/>
      <c r="D726" s="13"/>
      <c r="E726" s="13"/>
      <c r="F726" s="13"/>
    </row>
    <row r="727" spans="2:6" ht="12.5">
      <c r="B727" s="13"/>
      <c r="C727" s="13"/>
      <c r="D727" s="13"/>
      <c r="E727" s="13"/>
      <c r="F727" s="13"/>
    </row>
    <row r="728" spans="2:6" ht="12.5">
      <c r="B728" s="13"/>
      <c r="C728" s="13"/>
      <c r="D728" s="13"/>
      <c r="E728" s="13"/>
      <c r="F728" s="13"/>
    </row>
    <row r="729" spans="2:6" ht="12.5">
      <c r="B729" s="13"/>
      <c r="C729" s="13"/>
      <c r="D729" s="13"/>
      <c r="E729" s="13"/>
      <c r="F729" s="13"/>
    </row>
    <row r="730" spans="2:6" ht="12.5">
      <c r="B730" s="13"/>
      <c r="C730" s="13"/>
      <c r="D730" s="13"/>
      <c r="E730" s="13"/>
      <c r="F730" s="13"/>
    </row>
    <row r="731" spans="2:6" ht="12.5">
      <c r="B731" s="13"/>
      <c r="C731" s="13"/>
      <c r="D731" s="13"/>
      <c r="E731" s="13"/>
      <c r="F731" s="13"/>
    </row>
    <row r="732" spans="2:6" ht="12.5">
      <c r="B732" s="13"/>
      <c r="C732" s="13"/>
      <c r="D732" s="13"/>
      <c r="E732" s="13"/>
      <c r="F732" s="13"/>
    </row>
    <row r="733" spans="2:6" ht="12.5">
      <c r="B733" s="13"/>
      <c r="C733" s="13"/>
      <c r="D733" s="13"/>
      <c r="E733" s="13"/>
      <c r="F733" s="13"/>
    </row>
    <row r="734" spans="2:6" ht="12.5">
      <c r="B734" s="13"/>
      <c r="C734" s="13"/>
      <c r="D734" s="13"/>
      <c r="E734" s="13"/>
      <c r="F734" s="13"/>
    </row>
    <row r="735" spans="2:6" ht="12.5">
      <c r="B735" s="13"/>
      <c r="C735" s="13"/>
      <c r="D735" s="13"/>
      <c r="E735" s="13"/>
      <c r="F735" s="13"/>
    </row>
    <row r="736" spans="2:6" ht="12.5">
      <c r="B736" s="13"/>
      <c r="C736" s="13"/>
      <c r="D736" s="13"/>
      <c r="E736" s="13"/>
      <c r="F736" s="13"/>
    </row>
    <row r="737" spans="2:6" ht="12.5">
      <c r="B737" s="13"/>
      <c r="C737" s="13"/>
      <c r="D737" s="13"/>
      <c r="E737" s="13"/>
      <c r="F737" s="13"/>
    </row>
    <row r="738" spans="2:6" ht="12.5">
      <c r="B738" s="13"/>
      <c r="C738" s="13"/>
      <c r="D738" s="13"/>
      <c r="E738" s="13"/>
      <c r="F738" s="13"/>
    </row>
    <row r="739" spans="2:6" ht="12.5">
      <c r="B739" s="13"/>
      <c r="C739" s="13"/>
      <c r="D739" s="13"/>
      <c r="E739" s="13"/>
      <c r="F739" s="13"/>
    </row>
    <row r="740" spans="2:6" ht="12.5">
      <c r="B740" s="13"/>
      <c r="C740" s="13"/>
      <c r="D740" s="13"/>
      <c r="E740" s="13"/>
      <c r="F740" s="13"/>
    </row>
    <row r="741" spans="2:6" ht="12.5">
      <c r="B741" s="13"/>
      <c r="C741" s="13"/>
      <c r="D741" s="13"/>
      <c r="E741" s="13"/>
      <c r="F741" s="13"/>
    </row>
    <row r="742" spans="2:6" ht="12.5">
      <c r="B742" s="13"/>
      <c r="C742" s="13"/>
      <c r="D742" s="13"/>
      <c r="E742" s="13"/>
      <c r="F742" s="13"/>
    </row>
    <row r="743" spans="2:6" ht="12.5">
      <c r="B743" s="13"/>
      <c r="C743" s="13"/>
      <c r="D743" s="13"/>
      <c r="E743" s="13"/>
      <c r="F743" s="13"/>
    </row>
    <row r="744" spans="2:6" ht="12.5">
      <c r="B744" s="13"/>
      <c r="C744" s="13"/>
      <c r="D744" s="13"/>
      <c r="E744" s="13"/>
      <c r="F744" s="13"/>
    </row>
    <row r="745" spans="2:6" ht="12.5">
      <c r="B745" s="13"/>
      <c r="C745" s="13"/>
      <c r="D745" s="13"/>
      <c r="E745" s="13"/>
      <c r="F745" s="13"/>
    </row>
    <row r="746" spans="2:6" ht="12.5">
      <c r="B746" s="13"/>
      <c r="C746" s="13"/>
      <c r="D746" s="13"/>
      <c r="E746" s="13"/>
      <c r="F746" s="13"/>
    </row>
    <row r="747" spans="2:6" ht="12.5">
      <c r="B747" s="13"/>
      <c r="C747" s="13"/>
      <c r="D747" s="13"/>
      <c r="E747" s="13"/>
      <c r="F747" s="13"/>
    </row>
    <row r="748" spans="2:6" ht="12.5">
      <c r="B748" s="13"/>
      <c r="C748" s="13"/>
      <c r="D748" s="13"/>
      <c r="E748" s="13"/>
      <c r="F748" s="13"/>
    </row>
    <row r="749" spans="2:6" ht="12.5">
      <c r="B749" s="13"/>
      <c r="C749" s="13"/>
      <c r="D749" s="13"/>
      <c r="E749" s="13"/>
      <c r="F749" s="13"/>
    </row>
    <row r="750" spans="2:6" ht="12.5">
      <c r="B750" s="13"/>
      <c r="C750" s="13"/>
      <c r="D750" s="13"/>
      <c r="E750" s="13"/>
      <c r="F750" s="13"/>
    </row>
    <row r="751" spans="2:6" ht="12.5">
      <c r="B751" s="13"/>
      <c r="C751" s="13"/>
      <c r="D751" s="13"/>
      <c r="E751" s="13"/>
      <c r="F751" s="13"/>
    </row>
    <row r="752" spans="2:6" ht="12.5">
      <c r="B752" s="13"/>
      <c r="C752" s="13"/>
      <c r="D752" s="13"/>
      <c r="E752" s="13"/>
      <c r="F752" s="13"/>
    </row>
    <row r="753" spans="2:6" ht="12.5">
      <c r="B753" s="13"/>
      <c r="C753" s="13"/>
      <c r="D753" s="13"/>
      <c r="E753" s="13"/>
      <c r="F753" s="13"/>
    </row>
    <row r="754" spans="2:6" ht="12.5">
      <c r="B754" s="13"/>
      <c r="C754" s="13"/>
      <c r="D754" s="13"/>
      <c r="E754" s="13"/>
      <c r="F754" s="13"/>
    </row>
    <row r="755" spans="2:6" ht="12.5">
      <c r="B755" s="13"/>
      <c r="C755" s="13"/>
      <c r="D755" s="13"/>
      <c r="E755" s="13"/>
      <c r="F755" s="13"/>
    </row>
    <row r="756" spans="2:6" ht="12.5">
      <c r="B756" s="13"/>
      <c r="C756" s="13"/>
      <c r="D756" s="13"/>
      <c r="E756" s="13"/>
      <c r="F756" s="13"/>
    </row>
    <row r="757" spans="2:6" ht="12.5">
      <c r="B757" s="13"/>
      <c r="C757" s="13"/>
      <c r="D757" s="13"/>
      <c r="E757" s="13"/>
      <c r="F757" s="13"/>
    </row>
    <row r="758" spans="2:6" ht="12.5">
      <c r="B758" s="13"/>
      <c r="C758" s="13"/>
      <c r="D758" s="13"/>
      <c r="E758" s="13"/>
      <c r="F758" s="13"/>
    </row>
    <row r="759" spans="2:6" ht="12.5">
      <c r="B759" s="13"/>
      <c r="C759" s="13"/>
      <c r="D759" s="13"/>
      <c r="E759" s="13"/>
      <c r="F759" s="13"/>
    </row>
    <row r="760" spans="2:6" ht="12.5">
      <c r="B760" s="13"/>
      <c r="C760" s="13"/>
      <c r="D760" s="13"/>
      <c r="E760" s="13"/>
      <c r="F760" s="13"/>
    </row>
    <row r="761" spans="2:6" ht="12.5">
      <c r="B761" s="13"/>
      <c r="C761" s="13"/>
      <c r="D761" s="13"/>
      <c r="E761" s="13"/>
      <c r="F761" s="13"/>
    </row>
    <row r="762" spans="2:6" ht="12.5">
      <c r="B762" s="13"/>
      <c r="C762" s="13"/>
      <c r="D762" s="13"/>
      <c r="E762" s="13"/>
      <c r="F762" s="13"/>
    </row>
    <row r="763" spans="2:6" ht="12.5">
      <c r="B763" s="13"/>
      <c r="C763" s="13"/>
      <c r="D763" s="13"/>
      <c r="E763" s="13"/>
      <c r="F763" s="13"/>
    </row>
    <row r="764" spans="2:6" ht="12.5">
      <c r="B764" s="13"/>
      <c r="C764" s="13"/>
      <c r="D764" s="13"/>
      <c r="E764" s="13"/>
      <c r="F764" s="13"/>
    </row>
    <row r="765" spans="2:6" ht="12.5">
      <c r="B765" s="13"/>
      <c r="C765" s="13"/>
      <c r="D765" s="13"/>
      <c r="E765" s="13"/>
      <c r="F765" s="13"/>
    </row>
    <row r="766" spans="2:6" ht="12.5">
      <c r="B766" s="13"/>
      <c r="C766" s="13"/>
      <c r="D766" s="13"/>
      <c r="E766" s="13"/>
      <c r="F766" s="13"/>
    </row>
    <row r="767" spans="2:6" ht="12.5">
      <c r="B767" s="13"/>
      <c r="C767" s="13"/>
      <c r="D767" s="13"/>
      <c r="E767" s="13"/>
      <c r="F767" s="13"/>
    </row>
    <row r="768" spans="2:6" ht="12.5">
      <c r="B768" s="13"/>
      <c r="C768" s="13"/>
      <c r="D768" s="13"/>
      <c r="E768" s="13"/>
      <c r="F768" s="13"/>
    </row>
    <row r="769" spans="2:6" ht="12.5">
      <c r="B769" s="13"/>
      <c r="C769" s="13"/>
      <c r="D769" s="13"/>
      <c r="E769" s="13"/>
      <c r="F769" s="13"/>
    </row>
    <row r="770" spans="2:6" ht="12.5">
      <c r="B770" s="13"/>
      <c r="C770" s="13"/>
      <c r="D770" s="13"/>
      <c r="E770" s="13"/>
      <c r="F770" s="13"/>
    </row>
    <row r="771" spans="2:6" ht="12.5">
      <c r="B771" s="13"/>
      <c r="C771" s="13"/>
      <c r="D771" s="13"/>
      <c r="E771" s="13"/>
      <c r="F771" s="13"/>
    </row>
    <row r="772" spans="2:6" ht="12.5">
      <c r="B772" s="13"/>
      <c r="C772" s="13"/>
      <c r="D772" s="13"/>
      <c r="E772" s="13"/>
      <c r="F772" s="13"/>
    </row>
    <row r="773" spans="2:6" ht="12.5">
      <c r="B773" s="13"/>
      <c r="C773" s="13"/>
      <c r="D773" s="13"/>
      <c r="E773" s="13"/>
      <c r="F773" s="13"/>
    </row>
    <row r="774" spans="2:6" ht="12.5">
      <c r="B774" s="13"/>
      <c r="C774" s="13"/>
      <c r="D774" s="13"/>
      <c r="E774" s="13"/>
      <c r="F774" s="13"/>
    </row>
    <row r="775" spans="2:6" ht="12.5">
      <c r="B775" s="13"/>
      <c r="C775" s="13"/>
      <c r="D775" s="13"/>
      <c r="E775" s="13"/>
      <c r="F775" s="13"/>
    </row>
    <row r="776" spans="2:6" ht="12.5">
      <c r="B776" s="13"/>
      <c r="C776" s="13"/>
      <c r="D776" s="13"/>
      <c r="E776" s="13"/>
      <c r="F776" s="13"/>
    </row>
    <row r="777" spans="2:6" ht="12.5">
      <c r="B777" s="13"/>
      <c r="C777" s="13"/>
      <c r="D777" s="13"/>
      <c r="E777" s="13"/>
      <c r="F777" s="13"/>
    </row>
    <row r="778" spans="2:6" ht="12.5">
      <c r="B778" s="13"/>
      <c r="C778" s="13"/>
      <c r="D778" s="13"/>
      <c r="E778" s="13"/>
      <c r="F778" s="13"/>
    </row>
    <row r="779" spans="2:6" ht="12.5">
      <c r="B779" s="13"/>
      <c r="C779" s="13"/>
      <c r="D779" s="13"/>
      <c r="E779" s="13"/>
      <c r="F779" s="13"/>
    </row>
    <row r="780" spans="2:6" ht="12.5">
      <c r="B780" s="13"/>
      <c r="C780" s="13"/>
      <c r="D780" s="13"/>
      <c r="E780" s="13"/>
      <c r="F780" s="13"/>
    </row>
    <row r="781" spans="2:6" ht="12.5">
      <c r="B781" s="13"/>
      <c r="C781" s="13"/>
      <c r="D781" s="13"/>
      <c r="E781" s="13"/>
      <c r="F781" s="13"/>
    </row>
    <row r="782" spans="2:6" ht="12.5">
      <c r="B782" s="13"/>
      <c r="C782" s="13"/>
      <c r="D782" s="13"/>
      <c r="E782" s="13"/>
      <c r="F782" s="13"/>
    </row>
    <row r="783" spans="2:6" ht="12.5">
      <c r="B783" s="13"/>
      <c r="C783" s="13"/>
      <c r="D783" s="13"/>
      <c r="E783" s="13"/>
      <c r="F783" s="13"/>
    </row>
    <row r="784" spans="2:6" ht="12.5">
      <c r="B784" s="13"/>
      <c r="C784" s="13"/>
      <c r="D784" s="13"/>
      <c r="E784" s="13"/>
      <c r="F784" s="13"/>
    </row>
    <row r="785" spans="2:6" ht="12.5">
      <c r="B785" s="13"/>
      <c r="C785" s="13"/>
      <c r="D785" s="13"/>
      <c r="E785" s="13"/>
      <c r="F785" s="13"/>
    </row>
    <row r="786" spans="2:6" ht="12.5">
      <c r="B786" s="13"/>
      <c r="C786" s="13"/>
      <c r="D786" s="13"/>
      <c r="E786" s="13"/>
      <c r="F786" s="13"/>
    </row>
    <row r="787" spans="2:6" ht="12.5">
      <c r="B787" s="13"/>
      <c r="C787" s="13"/>
      <c r="D787" s="13"/>
      <c r="E787" s="13"/>
      <c r="F787" s="13"/>
    </row>
    <row r="788" spans="2:6" ht="12.5">
      <c r="B788" s="13"/>
      <c r="C788" s="13"/>
      <c r="D788" s="13"/>
      <c r="E788" s="13"/>
      <c r="F788" s="13"/>
    </row>
    <row r="789" spans="2:6" ht="12.5">
      <c r="B789" s="13"/>
      <c r="C789" s="13"/>
      <c r="D789" s="13"/>
      <c r="E789" s="13"/>
      <c r="F789" s="13"/>
    </row>
    <row r="790" spans="2:6" ht="12.5">
      <c r="B790" s="13"/>
      <c r="C790" s="13"/>
      <c r="D790" s="13"/>
      <c r="E790" s="13"/>
      <c r="F790" s="13"/>
    </row>
    <row r="791" spans="2:6" ht="12.5">
      <c r="B791" s="13"/>
      <c r="C791" s="13"/>
      <c r="D791" s="13"/>
      <c r="E791" s="13"/>
      <c r="F791" s="13"/>
    </row>
    <row r="792" spans="2:6" ht="12.5">
      <c r="B792" s="13"/>
      <c r="C792" s="13"/>
      <c r="D792" s="13"/>
      <c r="E792" s="13"/>
      <c r="F792" s="13"/>
    </row>
    <row r="793" spans="2:6" ht="12.5">
      <c r="B793" s="13"/>
      <c r="C793" s="13"/>
      <c r="D793" s="13"/>
      <c r="E793" s="13"/>
      <c r="F793" s="13"/>
    </row>
    <row r="794" spans="2:6" ht="12.5">
      <c r="B794" s="13"/>
      <c r="C794" s="13"/>
      <c r="D794" s="13"/>
      <c r="E794" s="13"/>
      <c r="F794" s="13"/>
    </row>
    <row r="795" spans="2:6" ht="12.5">
      <c r="B795" s="13"/>
      <c r="C795" s="13"/>
      <c r="D795" s="13"/>
      <c r="E795" s="13"/>
      <c r="F795" s="13"/>
    </row>
    <row r="796" spans="2:6" ht="12.5">
      <c r="B796" s="13"/>
      <c r="C796" s="13"/>
      <c r="D796" s="13"/>
      <c r="E796" s="13"/>
      <c r="F796" s="13"/>
    </row>
    <row r="797" spans="2:6" ht="12.5">
      <c r="B797" s="13"/>
      <c r="C797" s="13"/>
      <c r="D797" s="13"/>
      <c r="E797" s="13"/>
      <c r="F797" s="13"/>
    </row>
    <row r="798" spans="2:6" ht="12.5">
      <c r="B798" s="13"/>
      <c r="C798" s="13"/>
      <c r="D798" s="13"/>
      <c r="E798" s="13"/>
      <c r="F798" s="13"/>
    </row>
    <row r="799" spans="2:6" ht="12.5">
      <c r="B799" s="13"/>
      <c r="C799" s="13"/>
      <c r="D799" s="13"/>
      <c r="E799" s="13"/>
      <c r="F799" s="13"/>
    </row>
    <row r="800" spans="2:6" ht="12.5">
      <c r="B800" s="13"/>
      <c r="C800" s="13"/>
      <c r="D800" s="13"/>
      <c r="E800" s="13"/>
      <c r="F800" s="13"/>
    </row>
    <row r="801" spans="2:6" ht="12.5">
      <c r="B801" s="13"/>
      <c r="C801" s="13"/>
      <c r="D801" s="13"/>
      <c r="E801" s="13"/>
      <c r="F801" s="13"/>
    </row>
    <row r="802" spans="2:6" ht="12.5">
      <c r="B802" s="13"/>
      <c r="C802" s="13"/>
      <c r="D802" s="13"/>
      <c r="E802" s="13"/>
      <c r="F802" s="13"/>
    </row>
    <row r="803" spans="2:6" ht="12.5">
      <c r="B803" s="13"/>
      <c r="C803" s="13"/>
      <c r="D803" s="13"/>
      <c r="E803" s="13"/>
      <c r="F803" s="13"/>
    </row>
    <row r="804" spans="2:6" ht="12.5">
      <c r="B804" s="13"/>
      <c r="C804" s="13"/>
      <c r="D804" s="13"/>
      <c r="E804" s="13"/>
      <c r="F804" s="13"/>
    </row>
    <row r="805" spans="2:6" ht="12.5">
      <c r="B805" s="13"/>
      <c r="C805" s="13"/>
      <c r="D805" s="13"/>
      <c r="E805" s="13"/>
      <c r="F805" s="13"/>
    </row>
    <row r="806" spans="2:6" ht="12.5">
      <c r="B806" s="13"/>
      <c r="C806" s="13"/>
      <c r="D806" s="13"/>
      <c r="E806" s="13"/>
      <c r="F806" s="13"/>
    </row>
    <row r="807" spans="2:6" ht="12.5">
      <c r="B807" s="13"/>
      <c r="C807" s="13"/>
      <c r="D807" s="13"/>
      <c r="E807" s="13"/>
      <c r="F807" s="13"/>
    </row>
    <row r="808" spans="2:6" ht="12.5">
      <c r="B808" s="13"/>
      <c r="C808" s="13"/>
      <c r="D808" s="13"/>
      <c r="E808" s="13"/>
      <c r="F808" s="13"/>
    </row>
    <row r="809" spans="2:6" ht="12.5">
      <c r="B809" s="13"/>
      <c r="C809" s="13"/>
      <c r="D809" s="13"/>
      <c r="E809" s="13"/>
      <c r="F809" s="13"/>
    </row>
    <row r="810" spans="2:6" ht="12.5">
      <c r="B810" s="13"/>
      <c r="C810" s="13"/>
      <c r="D810" s="13"/>
      <c r="E810" s="13"/>
      <c r="F810" s="13"/>
    </row>
    <row r="811" spans="2:6" ht="12.5">
      <c r="B811" s="13"/>
      <c r="C811" s="13"/>
      <c r="D811" s="13"/>
      <c r="E811" s="13"/>
      <c r="F811" s="13"/>
    </row>
    <row r="812" spans="2:6" ht="12.5">
      <c r="B812" s="13"/>
      <c r="C812" s="13"/>
      <c r="D812" s="13"/>
      <c r="E812" s="13"/>
      <c r="F812" s="13"/>
    </row>
    <row r="813" spans="2:6" ht="12.5">
      <c r="B813" s="13"/>
      <c r="C813" s="13"/>
      <c r="D813" s="13"/>
      <c r="E813" s="13"/>
      <c r="F813" s="13"/>
    </row>
    <row r="814" spans="2:6" ht="12.5">
      <c r="B814" s="13"/>
      <c r="C814" s="13"/>
      <c r="D814" s="13"/>
      <c r="E814" s="13"/>
      <c r="F814" s="13"/>
    </row>
    <row r="815" spans="2:6" ht="12.5">
      <c r="B815" s="13"/>
      <c r="C815" s="13"/>
      <c r="D815" s="13"/>
      <c r="E815" s="13"/>
      <c r="F815" s="13"/>
    </row>
    <row r="816" spans="2:6" ht="12.5">
      <c r="B816" s="13"/>
      <c r="C816" s="13"/>
      <c r="D816" s="13"/>
      <c r="E816" s="13"/>
      <c r="F816" s="13"/>
    </row>
    <row r="817" spans="2:6" ht="12.5">
      <c r="B817" s="13"/>
      <c r="C817" s="13"/>
      <c r="D817" s="13"/>
      <c r="E817" s="13"/>
      <c r="F817" s="13"/>
    </row>
    <row r="818" spans="2:6" ht="12.5">
      <c r="B818" s="13"/>
      <c r="C818" s="13"/>
      <c r="D818" s="13"/>
      <c r="E818" s="13"/>
      <c r="F818" s="13"/>
    </row>
    <row r="819" spans="2:6" ht="12.5">
      <c r="B819" s="13"/>
      <c r="C819" s="13"/>
      <c r="D819" s="13"/>
      <c r="E819" s="13"/>
      <c r="F819" s="13"/>
    </row>
    <row r="820" spans="2:6" ht="12.5">
      <c r="B820" s="13"/>
      <c r="C820" s="13"/>
      <c r="D820" s="13"/>
      <c r="E820" s="13"/>
      <c r="F820" s="13"/>
    </row>
    <row r="821" spans="2:6" ht="12.5">
      <c r="B821" s="13"/>
      <c r="C821" s="13"/>
      <c r="D821" s="13"/>
      <c r="E821" s="13"/>
      <c r="F821" s="13"/>
    </row>
    <row r="822" spans="2:6" ht="12.5">
      <c r="B822" s="13"/>
      <c r="C822" s="13"/>
      <c r="D822" s="13"/>
      <c r="E822" s="13"/>
      <c r="F822" s="13"/>
    </row>
    <row r="823" spans="2:6" ht="12.5">
      <c r="B823" s="13"/>
      <c r="C823" s="13"/>
      <c r="D823" s="13"/>
      <c r="E823" s="13"/>
      <c r="F823" s="13"/>
    </row>
    <row r="824" spans="2:6" ht="12.5">
      <c r="B824" s="13"/>
      <c r="C824" s="13"/>
      <c r="D824" s="13"/>
      <c r="E824" s="13"/>
      <c r="F824" s="13"/>
    </row>
    <row r="825" spans="2:6" ht="12.5">
      <c r="B825" s="13"/>
      <c r="C825" s="13"/>
      <c r="D825" s="13"/>
      <c r="E825" s="13"/>
      <c r="F825" s="13"/>
    </row>
    <row r="826" spans="2:6" ht="12.5">
      <c r="B826" s="13"/>
      <c r="C826" s="13"/>
      <c r="D826" s="13"/>
      <c r="E826" s="13"/>
      <c r="F826" s="13"/>
    </row>
    <row r="827" spans="2:6" ht="12.5">
      <c r="B827" s="13"/>
      <c r="C827" s="13"/>
      <c r="D827" s="13"/>
      <c r="E827" s="13"/>
      <c r="F827" s="13"/>
    </row>
    <row r="828" spans="2:6" ht="12.5">
      <c r="B828" s="13"/>
      <c r="C828" s="13"/>
      <c r="D828" s="13"/>
      <c r="E828" s="13"/>
      <c r="F828" s="13"/>
    </row>
    <row r="829" spans="2:6" ht="12.5">
      <c r="B829" s="13"/>
      <c r="C829" s="13"/>
      <c r="D829" s="13"/>
      <c r="E829" s="13"/>
      <c r="F829" s="13"/>
    </row>
    <row r="830" spans="2:6" ht="12.5">
      <c r="B830" s="13"/>
      <c r="C830" s="13"/>
      <c r="D830" s="13"/>
      <c r="E830" s="13"/>
      <c r="F830" s="13"/>
    </row>
    <row r="831" spans="2:6" ht="12.5">
      <c r="B831" s="13"/>
      <c r="C831" s="13"/>
      <c r="D831" s="13"/>
      <c r="E831" s="13"/>
      <c r="F831" s="13"/>
    </row>
    <row r="832" spans="2:6" ht="12.5">
      <c r="B832" s="13"/>
      <c r="C832" s="13"/>
      <c r="D832" s="13"/>
      <c r="E832" s="13"/>
      <c r="F832" s="13"/>
    </row>
    <row r="833" spans="2:6" ht="12.5">
      <c r="B833" s="13"/>
      <c r="C833" s="13"/>
      <c r="D833" s="13"/>
      <c r="E833" s="13"/>
      <c r="F833" s="13"/>
    </row>
    <row r="834" spans="2:6" ht="12.5">
      <c r="B834" s="13"/>
      <c r="C834" s="13"/>
      <c r="D834" s="13"/>
      <c r="E834" s="13"/>
      <c r="F834" s="13"/>
    </row>
    <row r="835" spans="2:6" ht="12.5">
      <c r="B835" s="13"/>
      <c r="C835" s="13"/>
      <c r="D835" s="13"/>
      <c r="E835" s="13"/>
      <c r="F835" s="13"/>
    </row>
    <row r="836" spans="2:6" ht="12.5">
      <c r="B836" s="13"/>
      <c r="C836" s="13"/>
      <c r="D836" s="13"/>
      <c r="E836" s="13"/>
      <c r="F836" s="13"/>
    </row>
    <row r="837" spans="2:6" ht="12.5">
      <c r="B837" s="13"/>
      <c r="C837" s="13"/>
      <c r="D837" s="13"/>
      <c r="E837" s="13"/>
      <c r="F837" s="13"/>
    </row>
    <row r="838" spans="2:6" ht="12.5">
      <c r="B838" s="13"/>
      <c r="C838" s="13"/>
      <c r="D838" s="13"/>
      <c r="E838" s="13"/>
      <c r="F838" s="13"/>
    </row>
    <row r="839" spans="2:6" ht="12.5">
      <c r="B839" s="13"/>
      <c r="C839" s="13"/>
      <c r="D839" s="13"/>
      <c r="E839" s="13"/>
      <c r="F839" s="13"/>
    </row>
    <row r="840" spans="2:6" ht="12.5">
      <c r="B840" s="13"/>
      <c r="C840" s="13"/>
      <c r="D840" s="13"/>
      <c r="E840" s="13"/>
      <c r="F840" s="13"/>
    </row>
    <row r="841" spans="2:6" ht="12.5">
      <c r="B841" s="13"/>
      <c r="C841" s="13"/>
      <c r="D841" s="13"/>
      <c r="E841" s="13"/>
      <c r="F841" s="13"/>
    </row>
    <row r="842" spans="2:6" ht="12.5">
      <c r="B842" s="13"/>
      <c r="C842" s="13"/>
      <c r="D842" s="13"/>
      <c r="E842" s="13"/>
      <c r="F842" s="13"/>
    </row>
    <row r="843" spans="2:6" ht="12.5">
      <c r="B843" s="13"/>
      <c r="C843" s="13"/>
      <c r="D843" s="13"/>
      <c r="E843" s="13"/>
      <c r="F843" s="13"/>
    </row>
    <row r="844" spans="2:6" ht="12.5">
      <c r="B844" s="13"/>
      <c r="C844" s="13"/>
      <c r="D844" s="13"/>
      <c r="E844" s="13"/>
      <c r="F844" s="13"/>
    </row>
    <row r="845" spans="2:6" ht="12.5">
      <c r="B845" s="13"/>
      <c r="C845" s="13"/>
      <c r="D845" s="13"/>
      <c r="E845" s="13"/>
      <c r="F845" s="13"/>
    </row>
    <row r="846" spans="2:6" ht="12.5">
      <c r="B846" s="13"/>
      <c r="C846" s="13"/>
      <c r="D846" s="13"/>
      <c r="E846" s="13"/>
      <c r="F846" s="13"/>
    </row>
    <row r="847" spans="2:6" ht="12.5">
      <c r="B847" s="13"/>
      <c r="C847" s="13"/>
      <c r="D847" s="13"/>
      <c r="E847" s="13"/>
      <c r="F847" s="13"/>
    </row>
    <row r="848" spans="2:6" ht="12.5">
      <c r="B848" s="13"/>
      <c r="C848" s="13"/>
      <c r="D848" s="13"/>
      <c r="E848" s="13"/>
      <c r="F848" s="13"/>
    </row>
    <row r="849" spans="2:6" ht="12.5">
      <c r="B849" s="13"/>
      <c r="C849" s="13"/>
      <c r="D849" s="13"/>
      <c r="E849" s="13"/>
      <c r="F849" s="13"/>
    </row>
    <row r="850" spans="2:6" ht="12.5">
      <c r="B850" s="13"/>
      <c r="C850" s="13"/>
      <c r="D850" s="13"/>
      <c r="E850" s="13"/>
      <c r="F850" s="13"/>
    </row>
    <row r="851" spans="2:6" ht="12.5">
      <c r="B851" s="13"/>
      <c r="C851" s="13"/>
      <c r="D851" s="13"/>
      <c r="E851" s="13"/>
      <c r="F851" s="13"/>
    </row>
    <row r="852" spans="2:6" ht="12.5">
      <c r="B852" s="13"/>
      <c r="C852" s="13"/>
      <c r="D852" s="13"/>
      <c r="E852" s="13"/>
      <c r="F852" s="13"/>
    </row>
    <row r="853" spans="2:6" ht="12.5">
      <c r="B853" s="13"/>
      <c r="C853" s="13"/>
      <c r="D853" s="13"/>
      <c r="E853" s="13"/>
      <c r="F853" s="13"/>
    </row>
    <row r="854" spans="2:6" ht="12.5">
      <c r="B854" s="13"/>
      <c r="C854" s="13"/>
      <c r="D854" s="13"/>
      <c r="E854" s="13"/>
      <c r="F854" s="13"/>
    </row>
    <row r="855" spans="2:6" ht="12.5">
      <c r="B855" s="13"/>
      <c r="C855" s="13"/>
      <c r="D855" s="13"/>
      <c r="E855" s="13"/>
      <c r="F855" s="13"/>
    </row>
    <row r="856" spans="2:6" ht="12.5">
      <c r="B856" s="13"/>
      <c r="C856" s="13"/>
      <c r="D856" s="13"/>
      <c r="E856" s="13"/>
      <c r="F856" s="13"/>
    </row>
    <row r="857" spans="2:6" ht="12.5">
      <c r="B857" s="13"/>
      <c r="C857" s="13"/>
      <c r="D857" s="13"/>
      <c r="E857" s="13"/>
      <c r="F857" s="13"/>
    </row>
    <row r="858" spans="2:6" ht="12.5">
      <c r="B858" s="13"/>
      <c r="C858" s="13"/>
      <c r="D858" s="13"/>
      <c r="E858" s="13"/>
      <c r="F858" s="13"/>
    </row>
    <row r="859" spans="2:6" ht="12.5">
      <c r="B859" s="13"/>
      <c r="C859" s="13"/>
      <c r="D859" s="13"/>
      <c r="E859" s="13"/>
      <c r="F859" s="13"/>
    </row>
    <row r="860" spans="2:6" ht="12.5">
      <c r="B860" s="13"/>
      <c r="C860" s="13"/>
      <c r="D860" s="13"/>
      <c r="E860" s="13"/>
      <c r="F860" s="13"/>
    </row>
    <row r="861" spans="2:6" ht="12.5">
      <c r="B861" s="13"/>
      <c r="C861" s="13"/>
      <c r="D861" s="13"/>
      <c r="E861" s="13"/>
      <c r="F861" s="13"/>
    </row>
    <row r="862" spans="2:6" ht="12.5">
      <c r="B862" s="13"/>
      <c r="C862" s="13"/>
      <c r="D862" s="13"/>
      <c r="E862" s="13"/>
      <c r="F862" s="13"/>
    </row>
    <row r="863" spans="2:6" ht="12.5">
      <c r="B863" s="13"/>
      <c r="C863" s="13"/>
      <c r="D863" s="13"/>
      <c r="E863" s="13"/>
      <c r="F863" s="13"/>
    </row>
    <row r="864" spans="2:6" ht="12.5">
      <c r="B864" s="13"/>
      <c r="C864" s="13"/>
      <c r="D864" s="13"/>
      <c r="E864" s="13"/>
      <c r="F864" s="13"/>
    </row>
    <row r="865" spans="2:6" ht="12.5">
      <c r="B865" s="13"/>
      <c r="C865" s="13"/>
      <c r="D865" s="13"/>
      <c r="E865" s="13"/>
      <c r="F865" s="13"/>
    </row>
    <row r="866" spans="2:6" ht="12.5">
      <c r="B866" s="13"/>
      <c r="C866" s="13"/>
      <c r="D866" s="13"/>
      <c r="E866" s="13"/>
      <c r="F866" s="13"/>
    </row>
    <row r="867" spans="2:6" ht="12.5">
      <c r="B867" s="13"/>
      <c r="C867" s="13"/>
      <c r="D867" s="13"/>
      <c r="E867" s="13"/>
      <c r="F867" s="13"/>
    </row>
    <row r="868" spans="2:6" ht="12.5">
      <c r="B868" s="13"/>
      <c r="C868" s="13"/>
      <c r="D868" s="13"/>
      <c r="E868" s="13"/>
      <c r="F868" s="13"/>
    </row>
    <row r="869" spans="2:6" ht="12.5">
      <c r="B869" s="13"/>
      <c r="C869" s="13"/>
      <c r="D869" s="13"/>
      <c r="E869" s="13"/>
      <c r="F869" s="13"/>
    </row>
    <row r="870" spans="2:6" ht="12.5">
      <c r="B870" s="13"/>
      <c r="C870" s="13"/>
      <c r="D870" s="13"/>
      <c r="E870" s="13"/>
      <c r="F870" s="13"/>
    </row>
    <row r="871" spans="2:6" ht="12.5">
      <c r="B871" s="13"/>
      <c r="C871" s="13"/>
      <c r="D871" s="13"/>
      <c r="E871" s="13"/>
      <c r="F871" s="13"/>
    </row>
    <row r="872" spans="2:6" ht="12.5">
      <c r="B872" s="13"/>
      <c r="C872" s="13"/>
      <c r="D872" s="13"/>
      <c r="E872" s="13"/>
      <c r="F872" s="13"/>
    </row>
    <row r="873" spans="2:6" ht="12.5">
      <c r="B873" s="13"/>
      <c r="C873" s="13"/>
      <c r="D873" s="13"/>
      <c r="E873" s="13"/>
      <c r="F873" s="13"/>
    </row>
    <row r="874" spans="2:6" ht="12.5">
      <c r="B874" s="13"/>
      <c r="C874" s="13"/>
      <c r="D874" s="13"/>
      <c r="E874" s="13"/>
      <c r="F874" s="13"/>
    </row>
    <row r="875" spans="2:6" ht="12.5">
      <c r="B875" s="13"/>
      <c r="C875" s="13"/>
      <c r="D875" s="13"/>
      <c r="E875" s="13"/>
      <c r="F875" s="13"/>
    </row>
    <row r="876" spans="2:6" ht="12.5">
      <c r="B876" s="13"/>
      <c r="C876" s="13"/>
      <c r="D876" s="13"/>
      <c r="E876" s="13"/>
      <c r="F876" s="13"/>
    </row>
    <row r="877" spans="2:6" ht="12.5">
      <c r="B877" s="13"/>
      <c r="C877" s="13"/>
      <c r="D877" s="13"/>
      <c r="E877" s="13"/>
      <c r="F877" s="13"/>
    </row>
    <row r="878" spans="2:6" ht="12.5">
      <c r="B878" s="13"/>
      <c r="C878" s="13"/>
      <c r="D878" s="13"/>
      <c r="E878" s="13"/>
      <c r="F878" s="13"/>
    </row>
    <row r="879" spans="2:6" ht="12.5">
      <c r="B879" s="13"/>
      <c r="C879" s="13"/>
      <c r="D879" s="13"/>
      <c r="E879" s="13"/>
      <c r="F879" s="13"/>
    </row>
    <row r="880" spans="2:6" ht="12.5">
      <c r="B880" s="13"/>
      <c r="C880" s="13"/>
      <c r="D880" s="13"/>
      <c r="E880" s="13"/>
      <c r="F880" s="13"/>
    </row>
    <row r="881" spans="2:6" ht="12.5">
      <c r="B881" s="13"/>
      <c r="C881" s="13"/>
      <c r="D881" s="13"/>
      <c r="E881" s="13"/>
      <c r="F881" s="13"/>
    </row>
    <row r="882" spans="2:6" ht="12.5">
      <c r="B882" s="13"/>
      <c r="C882" s="13"/>
      <c r="D882" s="13"/>
      <c r="E882" s="13"/>
      <c r="F882" s="13"/>
    </row>
    <row r="883" spans="2:6" ht="12.5">
      <c r="B883" s="13"/>
      <c r="C883" s="13"/>
      <c r="D883" s="13"/>
      <c r="E883" s="13"/>
      <c r="F883" s="13"/>
    </row>
    <row r="884" spans="2:6" ht="12.5">
      <c r="B884" s="13"/>
      <c r="C884" s="13"/>
      <c r="D884" s="13"/>
      <c r="E884" s="13"/>
      <c r="F884" s="13"/>
    </row>
    <row r="885" spans="2:6" ht="12.5">
      <c r="B885" s="13"/>
      <c r="C885" s="13"/>
      <c r="D885" s="13"/>
      <c r="E885" s="13"/>
      <c r="F885" s="13"/>
    </row>
    <row r="886" spans="2:6" ht="12.5">
      <c r="B886" s="13"/>
      <c r="C886" s="13"/>
      <c r="D886" s="13"/>
      <c r="E886" s="13"/>
      <c r="F886" s="13"/>
    </row>
    <row r="887" spans="2:6" ht="12.5">
      <c r="B887" s="13"/>
      <c r="C887" s="13"/>
      <c r="D887" s="13"/>
      <c r="E887" s="13"/>
      <c r="F887" s="13"/>
    </row>
    <row r="888" spans="2:6" ht="12.5">
      <c r="B888" s="13"/>
      <c r="C888" s="13"/>
      <c r="D888" s="13"/>
      <c r="E888" s="13"/>
      <c r="F888" s="13"/>
    </row>
    <row r="889" spans="2:6" ht="12.5">
      <c r="B889" s="13"/>
      <c r="C889" s="13"/>
      <c r="D889" s="13"/>
      <c r="E889" s="13"/>
      <c r="F889" s="13"/>
    </row>
    <row r="890" spans="2:6" ht="12.5">
      <c r="B890" s="13"/>
      <c r="C890" s="13"/>
      <c r="D890" s="13"/>
      <c r="E890" s="13"/>
      <c r="F890" s="13"/>
    </row>
    <row r="891" spans="2:6" ht="12.5">
      <c r="B891" s="13"/>
      <c r="C891" s="13"/>
      <c r="D891" s="13"/>
      <c r="E891" s="13"/>
      <c r="F891" s="13"/>
    </row>
    <row r="892" spans="2:6" ht="12.5">
      <c r="B892" s="13"/>
      <c r="C892" s="13"/>
      <c r="D892" s="13"/>
      <c r="E892" s="13"/>
      <c r="F892" s="13"/>
    </row>
    <row r="893" spans="2:6" ht="12.5">
      <c r="B893" s="13"/>
      <c r="C893" s="13"/>
      <c r="D893" s="13"/>
      <c r="E893" s="13"/>
      <c r="F893" s="13"/>
    </row>
    <row r="894" spans="2:6" ht="12.5">
      <c r="B894" s="13"/>
      <c r="C894" s="13"/>
      <c r="D894" s="13"/>
      <c r="E894" s="13"/>
      <c r="F894" s="13"/>
    </row>
    <row r="895" spans="2:6" ht="12.5">
      <c r="B895" s="13"/>
      <c r="C895" s="13"/>
      <c r="D895" s="13"/>
      <c r="E895" s="13"/>
      <c r="F895" s="13"/>
    </row>
    <row r="896" spans="2:6" ht="12.5">
      <c r="B896" s="13"/>
      <c r="C896" s="13"/>
      <c r="D896" s="13"/>
      <c r="E896" s="13"/>
      <c r="F896" s="13"/>
    </row>
    <row r="897" spans="2:6" ht="12.5">
      <c r="B897" s="13"/>
      <c r="C897" s="13"/>
      <c r="D897" s="13"/>
      <c r="E897" s="13"/>
      <c r="F897" s="13"/>
    </row>
    <row r="898" spans="2:6" ht="12.5">
      <c r="B898" s="13"/>
      <c r="C898" s="13"/>
      <c r="D898" s="13"/>
      <c r="E898" s="13"/>
      <c r="F898" s="13"/>
    </row>
    <row r="899" spans="2:6" ht="12.5">
      <c r="B899" s="13"/>
      <c r="C899" s="13"/>
      <c r="D899" s="13"/>
      <c r="E899" s="13"/>
      <c r="F899" s="13"/>
    </row>
    <row r="900" spans="2:6" ht="12.5">
      <c r="B900" s="13"/>
      <c r="C900" s="13"/>
      <c r="D900" s="13"/>
      <c r="E900" s="13"/>
      <c r="F900" s="13"/>
    </row>
    <row r="901" spans="2:6" ht="12.5">
      <c r="B901" s="13"/>
      <c r="C901" s="13"/>
      <c r="D901" s="13"/>
      <c r="E901" s="13"/>
      <c r="F901" s="13"/>
    </row>
    <row r="902" spans="2:6" ht="12.5">
      <c r="B902" s="13"/>
      <c r="C902" s="13"/>
      <c r="D902" s="13"/>
      <c r="E902" s="13"/>
      <c r="F902" s="13"/>
    </row>
    <row r="903" spans="2:6" ht="12.5">
      <c r="B903" s="13"/>
      <c r="C903" s="13"/>
      <c r="D903" s="13"/>
      <c r="E903" s="13"/>
      <c r="F903" s="13"/>
    </row>
    <row r="904" spans="2:6" ht="12.5">
      <c r="B904" s="13"/>
      <c r="C904" s="13"/>
      <c r="D904" s="13"/>
      <c r="E904" s="13"/>
      <c r="F904" s="13"/>
    </row>
    <row r="905" spans="2:6" ht="12.5">
      <c r="B905" s="13"/>
      <c r="C905" s="13"/>
      <c r="D905" s="13"/>
      <c r="E905" s="13"/>
      <c r="F905" s="13"/>
    </row>
    <row r="906" spans="2:6" ht="12.5">
      <c r="B906" s="13"/>
      <c r="C906" s="13"/>
      <c r="D906" s="13"/>
      <c r="E906" s="13"/>
      <c r="F906" s="13"/>
    </row>
    <row r="907" spans="2:6" ht="12.5">
      <c r="B907" s="13"/>
      <c r="C907" s="13"/>
      <c r="D907" s="13"/>
      <c r="E907" s="13"/>
      <c r="F907" s="13"/>
    </row>
    <row r="908" spans="2:6" ht="12.5">
      <c r="B908" s="13"/>
      <c r="C908" s="13"/>
      <c r="D908" s="13"/>
      <c r="E908" s="13"/>
      <c r="F908" s="13"/>
    </row>
    <row r="909" spans="2:6" ht="12.5">
      <c r="B909" s="13"/>
      <c r="C909" s="13"/>
      <c r="D909" s="13"/>
      <c r="E909" s="13"/>
      <c r="F909" s="13"/>
    </row>
    <row r="910" spans="2:6" ht="12.5">
      <c r="B910" s="13"/>
      <c r="C910" s="13"/>
      <c r="D910" s="13"/>
      <c r="E910" s="13"/>
      <c r="F910" s="13"/>
    </row>
    <row r="911" spans="2:6" ht="12.5">
      <c r="B911" s="13"/>
      <c r="C911" s="13"/>
      <c r="D911" s="13"/>
      <c r="E911" s="13"/>
      <c r="F911" s="13"/>
    </row>
    <row r="912" spans="2:6" ht="12.5">
      <c r="B912" s="13"/>
      <c r="C912" s="13"/>
      <c r="D912" s="13"/>
      <c r="E912" s="13"/>
      <c r="F912" s="13"/>
    </row>
    <row r="913" spans="2:6" ht="12.5">
      <c r="B913" s="13"/>
      <c r="C913" s="13"/>
      <c r="D913" s="13"/>
      <c r="E913" s="13"/>
      <c r="F913" s="13"/>
    </row>
    <row r="914" spans="2:6" ht="12.5">
      <c r="B914" s="13"/>
      <c r="C914" s="13"/>
      <c r="D914" s="13"/>
      <c r="E914" s="13"/>
      <c r="F914" s="13"/>
    </row>
    <row r="915" spans="2:6" ht="12.5">
      <c r="B915" s="13"/>
      <c r="C915" s="13"/>
      <c r="D915" s="13"/>
      <c r="E915" s="13"/>
      <c r="F915" s="13"/>
    </row>
    <row r="916" spans="2:6" ht="12.5">
      <c r="B916" s="13"/>
      <c r="C916" s="13"/>
      <c r="D916" s="13"/>
      <c r="E916" s="13"/>
      <c r="F916" s="13"/>
    </row>
    <row r="917" spans="2:6" ht="12.5">
      <c r="B917" s="13"/>
      <c r="C917" s="13"/>
      <c r="D917" s="13"/>
      <c r="E917" s="13"/>
      <c r="F917" s="13"/>
    </row>
    <row r="918" spans="2:6" ht="12.5">
      <c r="B918" s="13"/>
      <c r="C918" s="13"/>
      <c r="D918" s="13"/>
      <c r="E918" s="13"/>
      <c r="F918" s="13"/>
    </row>
    <row r="919" spans="2:6" ht="12.5">
      <c r="B919" s="13"/>
      <c r="C919" s="13"/>
      <c r="D919" s="13"/>
      <c r="E919" s="13"/>
      <c r="F919" s="13"/>
    </row>
    <row r="920" spans="2:6" ht="12.5">
      <c r="B920" s="13"/>
      <c r="C920" s="13"/>
      <c r="D920" s="13"/>
      <c r="E920" s="13"/>
      <c r="F920" s="13"/>
    </row>
    <row r="921" spans="2:6" ht="12.5">
      <c r="B921" s="13"/>
      <c r="C921" s="13"/>
      <c r="D921" s="13"/>
      <c r="E921" s="13"/>
      <c r="F921" s="13"/>
    </row>
    <row r="922" spans="2:6" ht="12.5">
      <c r="B922" s="13"/>
      <c r="C922" s="13"/>
      <c r="D922" s="13"/>
      <c r="E922" s="13"/>
      <c r="F922" s="13"/>
    </row>
    <row r="923" spans="2:6" ht="12.5">
      <c r="B923" s="13"/>
      <c r="C923" s="13"/>
      <c r="D923" s="13"/>
      <c r="E923" s="13"/>
      <c r="F923" s="13"/>
    </row>
    <row r="924" spans="2:6" ht="12.5">
      <c r="B924" s="13"/>
      <c r="C924" s="13"/>
      <c r="D924" s="13"/>
      <c r="E924" s="13"/>
      <c r="F924" s="13"/>
    </row>
    <row r="925" spans="2:6" ht="12.5">
      <c r="B925" s="13"/>
      <c r="C925" s="13"/>
      <c r="D925" s="13"/>
      <c r="E925" s="13"/>
      <c r="F925" s="13"/>
    </row>
    <row r="926" spans="2:6" ht="12.5">
      <c r="B926" s="13"/>
      <c r="C926" s="13"/>
      <c r="D926" s="13"/>
      <c r="E926" s="13"/>
      <c r="F926" s="13"/>
    </row>
    <row r="927" spans="2:6" ht="12.5">
      <c r="B927" s="13"/>
      <c r="C927" s="13"/>
      <c r="D927" s="13"/>
      <c r="E927" s="13"/>
      <c r="F927" s="13"/>
    </row>
    <row r="928" spans="2:6" ht="12.5">
      <c r="B928" s="13"/>
      <c r="C928" s="13"/>
      <c r="D928" s="13"/>
      <c r="E928" s="13"/>
      <c r="F928" s="13"/>
    </row>
    <row r="929" spans="2:6" ht="12.5">
      <c r="B929" s="13"/>
      <c r="C929" s="13"/>
      <c r="D929" s="13"/>
      <c r="E929" s="13"/>
      <c r="F929" s="13"/>
    </row>
    <row r="930" spans="2:6" ht="12.5">
      <c r="B930" s="13"/>
      <c r="C930" s="13"/>
      <c r="D930" s="13"/>
      <c r="E930" s="13"/>
      <c r="F930" s="13"/>
    </row>
    <row r="931" spans="2:6" ht="12.5">
      <c r="B931" s="13"/>
      <c r="C931" s="13"/>
      <c r="D931" s="13"/>
      <c r="E931" s="13"/>
      <c r="F931" s="13"/>
    </row>
    <row r="932" spans="2:6" ht="12.5">
      <c r="B932" s="13"/>
      <c r="C932" s="13"/>
      <c r="D932" s="13"/>
      <c r="E932" s="13"/>
      <c r="F932" s="13"/>
    </row>
    <row r="933" spans="2:6" ht="12.5">
      <c r="B933" s="13"/>
      <c r="C933" s="13"/>
      <c r="D933" s="13"/>
      <c r="E933" s="13"/>
      <c r="F933" s="13"/>
    </row>
    <row r="934" spans="2:6" ht="12.5">
      <c r="B934" s="13"/>
      <c r="C934" s="13"/>
      <c r="D934" s="13"/>
      <c r="E934" s="13"/>
      <c r="F934" s="13"/>
    </row>
    <row r="935" spans="2:6" ht="12.5">
      <c r="B935" s="13"/>
      <c r="C935" s="13"/>
      <c r="D935" s="13"/>
      <c r="E935" s="13"/>
      <c r="F935" s="13"/>
    </row>
    <row r="936" spans="2:6" ht="12.5">
      <c r="B936" s="13"/>
      <c r="C936" s="13"/>
      <c r="D936" s="13"/>
      <c r="E936" s="13"/>
      <c r="F936" s="13"/>
    </row>
    <row r="937" spans="2:6" ht="12.5">
      <c r="B937" s="13"/>
      <c r="C937" s="13"/>
      <c r="D937" s="13"/>
      <c r="E937" s="13"/>
      <c r="F937" s="13"/>
    </row>
    <row r="938" spans="2:6" ht="12.5">
      <c r="B938" s="13"/>
      <c r="C938" s="13"/>
      <c r="D938" s="13"/>
      <c r="E938" s="13"/>
      <c r="F938" s="13"/>
    </row>
    <row r="939" spans="2:6" ht="12.5">
      <c r="B939" s="13"/>
      <c r="C939" s="13"/>
      <c r="D939" s="13"/>
      <c r="E939" s="13"/>
      <c r="F939" s="13"/>
    </row>
    <row r="940" spans="2:6" ht="12.5">
      <c r="B940" s="13"/>
      <c r="C940" s="13"/>
      <c r="D940" s="13"/>
      <c r="E940" s="13"/>
      <c r="F940" s="13"/>
    </row>
    <row r="941" spans="2:6" ht="12.5">
      <c r="B941" s="13"/>
      <c r="C941" s="13"/>
      <c r="D941" s="13"/>
      <c r="E941" s="13"/>
      <c r="F941" s="13"/>
    </row>
    <row r="942" spans="2:6" ht="12.5">
      <c r="B942" s="13"/>
      <c r="C942" s="13"/>
      <c r="D942" s="13"/>
      <c r="E942" s="13"/>
      <c r="F942" s="13"/>
    </row>
    <row r="943" spans="2:6" ht="12.5">
      <c r="B943" s="13"/>
      <c r="C943" s="13"/>
      <c r="D943" s="13"/>
      <c r="E943" s="13"/>
      <c r="F943" s="13"/>
    </row>
    <row r="944" spans="2:6" ht="12.5">
      <c r="B944" s="13"/>
      <c r="C944" s="13"/>
      <c r="D944" s="13"/>
      <c r="E944" s="13"/>
      <c r="F944" s="13"/>
    </row>
    <row r="945" spans="2:6" ht="12.5">
      <c r="B945" s="13"/>
      <c r="C945" s="13"/>
      <c r="D945" s="13"/>
      <c r="E945" s="13"/>
      <c r="F945" s="13"/>
    </row>
    <row r="946" spans="2:6" ht="12.5">
      <c r="B946" s="13"/>
      <c r="C946" s="13"/>
      <c r="D946" s="13"/>
      <c r="E946" s="13"/>
      <c r="F946" s="13"/>
    </row>
    <row r="947" spans="2:6" ht="12.5">
      <c r="B947" s="13"/>
      <c r="C947" s="13"/>
      <c r="D947" s="13"/>
      <c r="E947" s="13"/>
      <c r="F947" s="13"/>
    </row>
    <row r="948" spans="2:6" ht="12.5">
      <c r="B948" s="13"/>
      <c r="C948" s="13"/>
      <c r="D948" s="13"/>
      <c r="E948" s="13"/>
      <c r="F948" s="13"/>
    </row>
    <row r="949" spans="2:6" ht="12.5">
      <c r="B949" s="13"/>
      <c r="C949" s="13"/>
      <c r="D949" s="13"/>
      <c r="E949" s="13"/>
      <c r="F949" s="13"/>
    </row>
    <row r="950" spans="2:6" ht="12.5">
      <c r="B950" s="13"/>
      <c r="C950" s="13"/>
      <c r="D950" s="13"/>
      <c r="E950" s="13"/>
      <c r="F950" s="13"/>
    </row>
    <row r="951" spans="2:6" ht="12.5">
      <c r="B951" s="13"/>
      <c r="C951" s="13"/>
      <c r="D951" s="13"/>
      <c r="E951" s="13"/>
      <c r="F951" s="13"/>
    </row>
    <row r="952" spans="2:6" ht="12.5">
      <c r="B952" s="13"/>
      <c r="C952" s="13"/>
      <c r="D952" s="13"/>
      <c r="E952" s="13"/>
      <c r="F952" s="13"/>
    </row>
    <row r="953" spans="2:6" ht="12.5">
      <c r="B953" s="13"/>
      <c r="C953" s="13"/>
      <c r="D953" s="13"/>
      <c r="E953" s="13"/>
      <c r="F953" s="13"/>
    </row>
    <row r="954" spans="2:6" ht="12.5">
      <c r="B954" s="13"/>
      <c r="C954" s="13"/>
      <c r="D954" s="13"/>
      <c r="E954" s="13"/>
      <c r="F954" s="13"/>
    </row>
    <row r="955" spans="2:6" ht="12.5">
      <c r="B955" s="13"/>
      <c r="C955" s="13"/>
      <c r="D955" s="13"/>
      <c r="E955" s="13"/>
      <c r="F955" s="13"/>
    </row>
    <row r="956" spans="2:6" ht="12.5">
      <c r="B956" s="13"/>
      <c r="C956" s="13"/>
      <c r="D956" s="13"/>
      <c r="E956" s="13"/>
      <c r="F956" s="13"/>
    </row>
    <row r="957" spans="2:6" ht="12.5">
      <c r="B957" s="13"/>
      <c r="C957" s="13"/>
      <c r="D957" s="13"/>
      <c r="E957" s="13"/>
      <c r="F957" s="13"/>
    </row>
    <row r="958" spans="2:6" ht="12.5">
      <c r="B958" s="13"/>
      <c r="C958" s="13"/>
      <c r="D958" s="13"/>
      <c r="E958" s="13"/>
      <c r="F958" s="13"/>
    </row>
    <row r="959" spans="2:6" ht="12.5">
      <c r="B959" s="13"/>
      <c r="C959" s="13"/>
      <c r="D959" s="13"/>
      <c r="E959" s="13"/>
      <c r="F959" s="13"/>
    </row>
    <row r="960" spans="2:6" ht="12.5">
      <c r="B960" s="13"/>
      <c r="C960" s="13"/>
      <c r="D960" s="13"/>
      <c r="E960" s="13"/>
      <c r="F960" s="13"/>
    </row>
    <row r="961" spans="2:6" ht="12.5">
      <c r="B961" s="13"/>
      <c r="C961" s="13"/>
      <c r="D961" s="13"/>
      <c r="E961" s="13"/>
      <c r="F961" s="13"/>
    </row>
    <row r="962" spans="2:6" ht="12.5">
      <c r="B962" s="13"/>
      <c r="C962" s="13"/>
      <c r="D962" s="13"/>
      <c r="E962" s="13"/>
      <c r="F962" s="13"/>
    </row>
    <row r="963" spans="2:6" ht="12.5">
      <c r="B963" s="13"/>
      <c r="C963" s="13"/>
      <c r="D963" s="13"/>
      <c r="E963" s="13"/>
      <c r="F963" s="13"/>
    </row>
    <row r="964" spans="2:6" ht="12.5">
      <c r="B964" s="13"/>
      <c r="C964" s="13"/>
      <c r="D964" s="13"/>
      <c r="E964" s="13"/>
      <c r="F964" s="13"/>
    </row>
    <row r="965" spans="2:6" ht="12.5">
      <c r="B965" s="13"/>
      <c r="C965" s="13"/>
      <c r="D965" s="13"/>
      <c r="E965" s="13"/>
      <c r="F965" s="13"/>
    </row>
    <row r="966" spans="2:6" ht="12.5">
      <c r="B966" s="13"/>
      <c r="C966" s="13"/>
      <c r="D966" s="13"/>
      <c r="E966" s="13"/>
      <c r="F966" s="13"/>
    </row>
    <row r="967" spans="2:6" ht="12.5">
      <c r="B967" s="13"/>
      <c r="C967" s="13"/>
      <c r="D967" s="13"/>
      <c r="E967" s="13"/>
      <c r="F967" s="13"/>
    </row>
    <row r="968" spans="2:6" ht="12.5">
      <c r="B968" s="13"/>
      <c r="C968" s="13"/>
      <c r="D968" s="13"/>
      <c r="E968" s="13"/>
      <c r="F968" s="13"/>
    </row>
    <row r="969" spans="2:6" ht="12.5">
      <c r="B969" s="13"/>
      <c r="C969" s="13"/>
      <c r="D969" s="13"/>
      <c r="E969" s="13"/>
      <c r="F969" s="13"/>
    </row>
    <row r="970" spans="2:6" ht="12.5">
      <c r="B970" s="13"/>
      <c r="C970" s="13"/>
      <c r="D970" s="13"/>
      <c r="E970" s="13"/>
      <c r="F970" s="13"/>
    </row>
    <row r="971" spans="2:6" ht="12.5">
      <c r="B971" s="13"/>
      <c r="C971" s="13"/>
      <c r="D971" s="13"/>
      <c r="E971" s="13"/>
      <c r="F971" s="13"/>
    </row>
    <row r="972" spans="2:6" ht="12.5">
      <c r="B972" s="13"/>
      <c r="C972" s="13"/>
      <c r="D972" s="13"/>
      <c r="E972" s="13"/>
      <c r="F972" s="13"/>
    </row>
    <row r="973" spans="2:6" ht="12.5">
      <c r="B973" s="13"/>
      <c r="C973" s="13"/>
      <c r="D973" s="13"/>
      <c r="E973" s="13"/>
      <c r="F973" s="13"/>
    </row>
    <row r="974" spans="2:6" ht="12.5">
      <c r="B974" s="13"/>
      <c r="C974" s="13"/>
      <c r="D974" s="13"/>
      <c r="E974" s="13"/>
      <c r="F974" s="13"/>
    </row>
    <row r="975" spans="2:6" ht="12.5">
      <c r="B975" s="13"/>
      <c r="C975" s="13"/>
      <c r="D975" s="13"/>
      <c r="E975" s="13"/>
      <c r="F975" s="13"/>
    </row>
    <row r="976" spans="2:6" ht="12.5">
      <c r="B976" s="13"/>
      <c r="C976" s="13"/>
      <c r="D976" s="13"/>
      <c r="E976" s="13"/>
      <c r="F976" s="13"/>
    </row>
    <row r="977" spans="2:6" ht="12.5">
      <c r="B977" s="13"/>
      <c r="C977" s="13"/>
      <c r="D977" s="13"/>
      <c r="E977" s="13"/>
      <c r="F977" s="13"/>
    </row>
    <row r="978" spans="2:6" ht="12.5">
      <c r="B978" s="13"/>
      <c r="C978" s="13"/>
      <c r="D978" s="13"/>
      <c r="E978" s="13"/>
      <c r="F978" s="13"/>
    </row>
    <row r="979" spans="2:6" ht="12.5">
      <c r="B979" s="13"/>
      <c r="C979" s="13"/>
      <c r="D979" s="13"/>
      <c r="E979" s="13"/>
      <c r="F979" s="13"/>
    </row>
    <row r="980" spans="2:6" ht="12.5">
      <c r="B980" s="13"/>
      <c r="C980" s="13"/>
      <c r="D980" s="13"/>
      <c r="E980" s="13"/>
      <c r="F980" s="13"/>
    </row>
    <row r="981" spans="2:6" ht="12.5">
      <c r="B981" s="13"/>
      <c r="C981" s="13"/>
      <c r="D981" s="13"/>
      <c r="E981" s="13"/>
      <c r="F981" s="13"/>
    </row>
    <row r="982" spans="2:6" ht="12.5">
      <c r="B982" s="13"/>
      <c r="C982" s="13"/>
      <c r="D982" s="13"/>
      <c r="E982" s="13"/>
      <c r="F982" s="13"/>
    </row>
    <row r="983" spans="2:6" ht="12.5">
      <c r="B983" s="13"/>
      <c r="C983" s="13"/>
      <c r="D983" s="13"/>
      <c r="E983" s="13"/>
      <c r="F983" s="13"/>
    </row>
    <row r="984" spans="2:6" ht="12.5">
      <c r="B984" s="13"/>
      <c r="C984" s="13"/>
      <c r="D984" s="13"/>
      <c r="E984" s="13"/>
      <c r="F984" s="13"/>
    </row>
    <row r="985" spans="2:6" ht="12.5">
      <c r="B985" s="13"/>
      <c r="C985" s="13"/>
      <c r="D985" s="13"/>
      <c r="E985" s="13"/>
      <c r="F985" s="13"/>
    </row>
    <row r="986" spans="2:6" ht="12.5">
      <c r="B986" s="13"/>
      <c r="C986" s="13"/>
      <c r="D986" s="13"/>
      <c r="E986" s="13"/>
      <c r="F986" s="13"/>
    </row>
    <row r="987" spans="2:6" ht="12.5">
      <c r="B987" s="13"/>
      <c r="C987" s="13"/>
      <c r="D987" s="13"/>
      <c r="E987" s="13"/>
      <c r="F987" s="13"/>
    </row>
    <row r="988" spans="2:6" ht="12.5">
      <c r="B988" s="13"/>
      <c r="C988" s="13"/>
      <c r="D988" s="13"/>
      <c r="E988" s="13"/>
      <c r="F988" s="13"/>
    </row>
    <row r="989" spans="2:6" ht="12.5">
      <c r="B989" s="13"/>
      <c r="C989" s="13"/>
      <c r="D989" s="13"/>
      <c r="E989" s="13"/>
      <c r="F989" s="13"/>
    </row>
    <row r="990" spans="2:6" ht="12.5">
      <c r="B990" s="13"/>
      <c r="C990" s="13"/>
      <c r="D990" s="13"/>
      <c r="E990" s="13"/>
      <c r="F990" s="13"/>
    </row>
    <row r="991" spans="2:6" ht="12.5">
      <c r="B991" s="13"/>
      <c r="C991" s="13"/>
      <c r="D991" s="13"/>
      <c r="E991" s="13"/>
      <c r="F991" s="13"/>
    </row>
    <row r="992" spans="2:6" ht="12.5">
      <c r="B992" s="13"/>
      <c r="C992" s="13"/>
      <c r="D992" s="13"/>
      <c r="E992" s="13"/>
      <c r="F992" s="13"/>
    </row>
    <row r="993" spans="2:6" ht="12.5">
      <c r="B993" s="13"/>
      <c r="C993" s="13"/>
      <c r="D993" s="13"/>
      <c r="E993" s="13"/>
      <c r="F993" s="13"/>
    </row>
    <row r="994" spans="2:6" ht="12.5">
      <c r="B994" s="13"/>
      <c r="C994" s="13"/>
      <c r="D994" s="13"/>
      <c r="E994" s="13"/>
      <c r="F994" s="13"/>
    </row>
    <row r="995" spans="2:6" ht="12.5">
      <c r="B995" s="13"/>
      <c r="C995" s="13"/>
      <c r="D995" s="13"/>
      <c r="E995" s="13"/>
      <c r="F995" s="13"/>
    </row>
    <row r="996" spans="2:6" ht="12.5">
      <c r="B996" s="13"/>
      <c r="C996" s="13"/>
      <c r="D996" s="13"/>
      <c r="E996" s="13"/>
      <c r="F996" s="13"/>
    </row>
    <row r="997" spans="2:6" ht="12.5">
      <c r="B997" s="13"/>
      <c r="C997" s="13"/>
      <c r="D997" s="13"/>
      <c r="E997" s="13"/>
      <c r="F997" s="13"/>
    </row>
    <row r="998" spans="2:6" ht="12.5">
      <c r="B998" s="13"/>
      <c r="C998" s="13"/>
      <c r="D998" s="13"/>
      <c r="E998" s="13"/>
      <c r="F998" s="13"/>
    </row>
    <row r="999" spans="2:6" ht="12.5">
      <c r="B999" s="13"/>
      <c r="C999" s="13"/>
      <c r="D999" s="13"/>
      <c r="E999" s="13"/>
      <c r="F999" s="13"/>
    </row>
    <row r="1000" spans="2:6" ht="12.5">
      <c r="B1000" s="13"/>
      <c r="C1000" s="13"/>
      <c r="D1000" s="13"/>
      <c r="E1000" s="13"/>
      <c r="F1000" s="13"/>
    </row>
    <row r="1001" spans="2:6" ht="12.5">
      <c r="B1001" s="13"/>
      <c r="C1001" s="13"/>
      <c r="D1001" s="13"/>
      <c r="E1001" s="13"/>
      <c r="F1001" s="13"/>
    </row>
    <row r="1002" spans="2:6" ht="12.5">
      <c r="B1002" s="13"/>
      <c r="C1002" s="13"/>
      <c r="D1002" s="13"/>
      <c r="E1002" s="13"/>
      <c r="F1002" s="13"/>
    </row>
    <row r="1003" spans="2:6" ht="12.5">
      <c r="B1003" s="13"/>
      <c r="C1003" s="13"/>
      <c r="D1003" s="13"/>
      <c r="E1003" s="13"/>
      <c r="F1003" s="13"/>
    </row>
    <row r="1004" spans="2:6" ht="12.5">
      <c r="B1004" s="13"/>
      <c r="C1004" s="13"/>
      <c r="D1004" s="13"/>
      <c r="E1004" s="13"/>
      <c r="F1004" s="13"/>
    </row>
    <row r="1005" spans="2:6" ht="12.5">
      <c r="B1005" s="13"/>
      <c r="C1005" s="13"/>
      <c r="D1005" s="13"/>
      <c r="E1005" s="13"/>
      <c r="F1005" s="13"/>
    </row>
    <row r="1006" spans="2:6" ht="12.5">
      <c r="B1006" s="13"/>
      <c r="C1006" s="13"/>
      <c r="D1006" s="13"/>
      <c r="E1006" s="13"/>
      <c r="F1006" s="13"/>
    </row>
    <row r="1007" spans="2:6" ht="12.5">
      <c r="B1007" s="13"/>
      <c r="C1007" s="13"/>
      <c r="D1007" s="13"/>
      <c r="E1007" s="13"/>
      <c r="F1007" s="13"/>
    </row>
    <row r="1008" spans="2:6" ht="12.5">
      <c r="B1008" s="13"/>
      <c r="C1008" s="13"/>
      <c r="D1008" s="13"/>
      <c r="E1008" s="13"/>
      <c r="F1008" s="13"/>
    </row>
    <row r="1009" spans="2:6" ht="12.5">
      <c r="B1009" s="13"/>
      <c r="C1009" s="13"/>
      <c r="D1009" s="13"/>
      <c r="E1009" s="13"/>
      <c r="F1009" s="13"/>
    </row>
    <row r="1010" spans="2:6" ht="12.5">
      <c r="B1010" s="13"/>
      <c r="C1010" s="13"/>
      <c r="D1010" s="13"/>
      <c r="E1010" s="13"/>
      <c r="F1010" s="13"/>
    </row>
    <row r="1011" spans="2:6" ht="12.5">
      <c r="B1011" s="13"/>
      <c r="C1011" s="13"/>
      <c r="D1011" s="13"/>
      <c r="E1011" s="13"/>
      <c r="F1011" s="13"/>
    </row>
    <row r="1012" spans="2:6" ht="12.5">
      <c r="B1012" s="13"/>
      <c r="C1012" s="13"/>
      <c r="D1012" s="13"/>
      <c r="E1012" s="13"/>
      <c r="F1012" s="13"/>
    </row>
    <row r="1013" spans="2:6" ht="12.5">
      <c r="B1013" s="13"/>
      <c r="C1013" s="13"/>
      <c r="D1013" s="13"/>
      <c r="E1013" s="13"/>
      <c r="F1013" s="13"/>
    </row>
    <row r="1014" spans="2:6" ht="12.5">
      <c r="B1014" s="13"/>
      <c r="C1014" s="13"/>
      <c r="D1014" s="13"/>
      <c r="E1014" s="13"/>
      <c r="F1014" s="13"/>
    </row>
    <row r="1015" spans="2:6" ht="12.5">
      <c r="B1015" s="13"/>
      <c r="C1015" s="13"/>
      <c r="D1015" s="13"/>
      <c r="E1015" s="13"/>
      <c r="F1015" s="13"/>
    </row>
    <row r="1016" spans="2:6" ht="12.5">
      <c r="B1016" s="13"/>
      <c r="C1016" s="13"/>
      <c r="D1016" s="13"/>
      <c r="E1016" s="13"/>
      <c r="F1016" s="13"/>
    </row>
    <row r="1017" spans="2:6" ht="12.5">
      <c r="B1017" s="13"/>
      <c r="C1017" s="13"/>
      <c r="D1017" s="13"/>
      <c r="E1017" s="13"/>
      <c r="F1017" s="13"/>
    </row>
    <row r="1018" spans="2:6" ht="12.5">
      <c r="B1018" s="13"/>
      <c r="C1018" s="13"/>
      <c r="D1018" s="13"/>
      <c r="E1018" s="13"/>
      <c r="F1018" s="13"/>
    </row>
    <row r="1019" spans="2:6" ht="12.5">
      <c r="B1019" s="13"/>
      <c r="C1019" s="13"/>
      <c r="D1019" s="13"/>
      <c r="E1019" s="13"/>
      <c r="F1019" s="13"/>
    </row>
    <row r="1020" spans="2:6" ht="12.5">
      <c r="B1020" s="13"/>
      <c r="C1020" s="13"/>
      <c r="D1020" s="13"/>
      <c r="E1020" s="13"/>
      <c r="F1020" s="13"/>
    </row>
    <row r="1021" spans="2:6" ht="12.5">
      <c r="B1021" s="13"/>
      <c r="C1021" s="13"/>
      <c r="D1021" s="13"/>
      <c r="E1021" s="13"/>
      <c r="F1021" s="13"/>
    </row>
    <row r="1022" spans="2:6" ht="12.5">
      <c r="B1022" s="13"/>
      <c r="C1022" s="13"/>
      <c r="D1022" s="13"/>
      <c r="E1022" s="13"/>
      <c r="F1022" s="13"/>
    </row>
    <row r="1023" spans="2:6" ht="12.5">
      <c r="B1023" s="13"/>
      <c r="C1023" s="13"/>
      <c r="D1023" s="13"/>
      <c r="E1023" s="13"/>
      <c r="F1023" s="13"/>
    </row>
    <row r="1024" spans="2:6" ht="12.5">
      <c r="B1024" s="13"/>
      <c r="C1024" s="13"/>
      <c r="D1024" s="13"/>
      <c r="E1024" s="13"/>
      <c r="F1024" s="13"/>
    </row>
    <row r="1025" spans="2:6" ht="12.5">
      <c r="B1025" s="13"/>
      <c r="C1025" s="13"/>
      <c r="D1025" s="13"/>
      <c r="E1025" s="13"/>
      <c r="F1025" s="13"/>
    </row>
    <row r="1026" spans="2:6" ht="12.5">
      <c r="B1026" s="13"/>
      <c r="C1026" s="13"/>
      <c r="D1026" s="13"/>
      <c r="E1026" s="13"/>
      <c r="F1026" s="13"/>
    </row>
    <row r="1027" spans="2:6" ht="12.5">
      <c r="B1027" s="13"/>
      <c r="C1027" s="13"/>
      <c r="D1027" s="13"/>
      <c r="E1027" s="13"/>
      <c r="F1027" s="13"/>
    </row>
    <row r="1028" spans="2:6" ht="12.5">
      <c r="B1028" s="13"/>
      <c r="C1028" s="13"/>
      <c r="D1028" s="13"/>
      <c r="E1028" s="13"/>
      <c r="F1028" s="13"/>
    </row>
    <row r="1029" spans="2:6" ht="12.5">
      <c r="B1029" s="13"/>
      <c r="C1029" s="13"/>
      <c r="D1029" s="13"/>
      <c r="E1029" s="13"/>
      <c r="F1029" s="13"/>
    </row>
    <row r="1030" spans="2:6" ht="12.5">
      <c r="B1030" s="13"/>
      <c r="C1030" s="13"/>
      <c r="D1030" s="13"/>
      <c r="E1030" s="13"/>
      <c r="F1030" s="13"/>
    </row>
    <row r="1031" spans="2:6" ht="12.5">
      <c r="B1031" s="13"/>
      <c r="C1031" s="13"/>
      <c r="D1031" s="13"/>
      <c r="E1031" s="13"/>
      <c r="F1031" s="13"/>
    </row>
    <row r="1032" spans="2:6" ht="12.5">
      <c r="B1032" s="13"/>
      <c r="C1032" s="13"/>
      <c r="D1032" s="13"/>
      <c r="E1032" s="13"/>
      <c r="F1032" s="13"/>
    </row>
    <row r="1033" spans="2:6" ht="12.5">
      <c r="B1033" s="13"/>
      <c r="C1033" s="13"/>
      <c r="D1033" s="13"/>
      <c r="E1033" s="13"/>
      <c r="F1033" s="13"/>
    </row>
    <row r="1034" spans="2:6" ht="12.5">
      <c r="B1034" s="13"/>
      <c r="C1034" s="13"/>
      <c r="D1034" s="13"/>
      <c r="E1034" s="13"/>
      <c r="F1034" s="13"/>
    </row>
    <row r="1035" spans="2:6" ht="12.5">
      <c r="B1035" s="13"/>
      <c r="C1035" s="13"/>
      <c r="D1035" s="13"/>
      <c r="E1035" s="13"/>
      <c r="F1035" s="13"/>
    </row>
    <row r="1036" spans="2:6" ht="12.5">
      <c r="B1036" s="13"/>
      <c r="C1036" s="13"/>
      <c r="D1036" s="13"/>
      <c r="E1036" s="13"/>
      <c r="F1036" s="13"/>
    </row>
    <row r="1037" spans="2:6" ht="12.5">
      <c r="B1037" s="13"/>
      <c r="C1037" s="13"/>
      <c r="D1037" s="13"/>
      <c r="E1037" s="13"/>
      <c r="F1037" s="13"/>
    </row>
    <row r="1038" spans="2:6" ht="12.5">
      <c r="B1038" s="13"/>
      <c r="C1038" s="13"/>
      <c r="D1038" s="13"/>
      <c r="E1038" s="13"/>
      <c r="F1038" s="13"/>
    </row>
    <row r="1039" spans="2:6" ht="12.5">
      <c r="B1039" s="13"/>
      <c r="C1039" s="13"/>
      <c r="D1039" s="13"/>
      <c r="E1039" s="13"/>
      <c r="F1039" s="13"/>
    </row>
    <row r="1040" spans="2:6" ht="12.5">
      <c r="B1040" s="13"/>
      <c r="C1040" s="13"/>
      <c r="D1040" s="13"/>
      <c r="E1040" s="13"/>
      <c r="F1040" s="13"/>
    </row>
    <row r="1041" spans="2:6" ht="12.5">
      <c r="B1041" s="13"/>
      <c r="C1041" s="13"/>
      <c r="D1041" s="13"/>
      <c r="E1041" s="13"/>
      <c r="F1041" s="13"/>
    </row>
    <row r="1042" spans="2:6" ht="12.5">
      <c r="B1042" s="13"/>
      <c r="C1042" s="13"/>
      <c r="D1042" s="13"/>
      <c r="E1042" s="13"/>
      <c r="F1042" s="13"/>
    </row>
    <row r="1043" spans="2:6" ht="12.5">
      <c r="B1043" s="13"/>
      <c r="C1043" s="13"/>
      <c r="D1043" s="13"/>
      <c r="E1043" s="13"/>
      <c r="F1043" s="13"/>
    </row>
    <row r="1044" spans="2:6" ht="12.5">
      <c r="B1044" s="13"/>
      <c r="C1044" s="13"/>
      <c r="D1044" s="13"/>
      <c r="E1044" s="13"/>
      <c r="F1044" s="13"/>
    </row>
  </sheetData>
  <hyperlinks>
    <hyperlink ref="H18" r:id="rId1"/>
    <hyperlink ref="H19" r:id="rId2"/>
    <hyperlink ref="H20" r:id="rId3"/>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L1002"/>
  <sheetViews>
    <sheetView showGridLines="0" zoomScale="52" workbookViewId="0">
      <selection activeCell="J48" sqref="J48"/>
    </sheetView>
  </sheetViews>
  <sheetFormatPr defaultColWidth="14.453125" defaultRowHeight="15.75" customHeight="1"/>
  <cols>
    <col min="2" max="2" width="15.36328125" customWidth="1"/>
    <col min="3" max="3" width="17.453125" customWidth="1"/>
    <col min="4" max="4" width="27.6328125" customWidth="1"/>
    <col min="5" max="6" width="20.08984375" customWidth="1"/>
    <col min="7" max="7" width="25.36328125" customWidth="1"/>
    <col min="8" max="8" width="29.08984375" customWidth="1"/>
    <col min="9" max="9" width="32.6328125" customWidth="1"/>
    <col min="10" max="10" width="16.08984375" customWidth="1"/>
    <col min="11" max="11" width="29.90625" customWidth="1"/>
    <col min="12" max="12" width="44.453125" customWidth="1"/>
    <col min="13" max="13" width="50.36328125" customWidth="1"/>
    <col min="14" max="15" width="19" customWidth="1"/>
    <col min="16" max="16" width="29.90625" customWidth="1"/>
    <col min="17" max="17" width="44.453125" customWidth="1"/>
    <col min="18" max="18" width="47.90625" customWidth="1"/>
    <col min="19" max="20" width="18" customWidth="1"/>
    <col min="21" max="21" width="23" customWidth="1"/>
    <col min="22" max="22" width="18.54296875" customWidth="1"/>
  </cols>
  <sheetData>
    <row r="1" spans="1:38">
      <c r="A1" s="327" t="s">
        <v>147</v>
      </c>
      <c r="B1" s="319"/>
      <c r="C1" s="319"/>
      <c r="D1" s="319"/>
      <c r="E1" s="320"/>
      <c r="F1" s="1"/>
      <c r="G1" s="1"/>
      <c r="H1" s="1"/>
      <c r="I1" s="1"/>
      <c r="J1" s="1"/>
      <c r="K1" s="29"/>
      <c r="L1" s="29"/>
      <c r="M1" s="1"/>
      <c r="N1" s="30"/>
      <c r="O1" s="1"/>
      <c r="P1" s="29"/>
      <c r="Q1" s="29"/>
      <c r="R1" s="1"/>
      <c r="S1" s="30"/>
      <c r="T1" s="1"/>
      <c r="U1" s="5"/>
      <c r="V1" s="1"/>
      <c r="W1" s="5"/>
    </row>
    <row r="2" spans="1:38">
      <c r="A2" s="321"/>
      <c r="B2" s="302"/>
      <c r="C2" s="302"/>
      <c r="D2" s="302"/>
      <c r="E2" s="322"/>
      <c r="F2" s="1"/>
      <c r="G2" s="1"/>
      <c r="H2" s="1"/>
      <c r="I2" s="1"/>
      <c r="J2" s="1"/>
      <c r="K2" s="29"/>
      <c r="L2" s="29"/>
      <c r="M2" s="1"/>
      <c r="N2" s="30"/>
      <c r="O2" s="1"/>
      <c r="P2" s="29"/>
      <c r="Q2" s="29"/>
      <c r="R2" s="1"/>
      <c r="S2" s="30"/>
      <c r="T2" s="1"/>
      <c r="U2" s="5"/>
      <c r="V2" s="1"/>
      <c r="W2" s="5"/>
    </row>
    <row r="3" spans="1:38">
      <c r="A3" s="321"/>
      <c r="B3" s="302"/>
      <c r="C3" s="302"/>
      <c r="D3" s="302"/>
      <c r="E3" s="322"/>
      <c r="F3" s="1"/>
      <c r="G3" s="1"/>
      <c r="H3" s="1"/>
      <c r="I3" s="1"/>
      <c r="J3" s="1"/>
      <c r="K3" s="29"/>
      <c r="L3" s="29"/>
      <c r="M3" s="1"/>
      <c r="N3" s="30"/>
      <c r="O3" s="1"/>
      <c r="P3" s="29"/>
      <c r="Q3" s="29"/>
      <c r="R3" s="1"/>
      <c r="S3" s="30"/>
      <c r="T3" s="1"/>
      <c r="U3" s="5"/>
      <c r="V3" s="1"/>
      <c r="W3" s="5"/>
    </row>
    <row r="4" spans="1:38">
      <c r="A4" s="323"/>
      <c r="B4" s="324"/>
      <c r="C4" s="324"/>
      <c r="D4" s="324"/>
      <c r="E4" s="325"/>
      <c r="F4" s="1"/>
      <c r="G4" s="1"/>
      <c r="H4" s="1"/>
      <c r="I4" s="1"/>
      <c r="J4" s="1"/>
      <c r="K4" s="29"/>
      <c r="L4" s="29"/>
      <c r="M4" s="1"/>
      <c r="N4" s="30"/>
      <c r="O4" s="1"/>
      <c r="P4" s="29"/>
      <c r="Q4" s="29"/>
      <c r="R4" s="1"/>
      <c r="S4" s="30"/>
      <c r="T4" s="1"/>
      <c r="U4" s="5"/>
      <c r="V4" s="1"/>
      <c r="W4" s="5"/>
    </row>
    <row r="5" spans="1:38">
      <c r="B5" s="1" t="s">
        <v>148</v>
      </c>
      <c r="C5" s="1" t="s">
        <v>149</v>
      </c>
      <c r="D5" s="1" t="s">
        <v>150</v>
      </c>
      <c r="E5" s="1" t="s">
        <v>151</v>
      </c>
      <c r="F5" s="1" t="s">
        <v>152</v>
      </c>
      <c r="G5" s="1" t="s">
        <v>153</v>
      </c>
      <c r="H5" s="1" t="s">
        <v>154</v>
      </c>
      <c r="I5" s="1" t="s">
        <v>155</v>
      </c>
      <c r="J5" s="1" t="s">
        <v>156</v>
      </c>
      <c r="K5" s="29" t="s">
        <v>157</v>
      </c>
      <c r="L5" s="29" t="s">
        <v>158</v>
      </c>
      <c r="M5" s="1" t="s">
        <v>159</v>
      </c>
      <c r="N5" s="30" t="s">
        <v>160</v>
      </c>
      <c r="O5" s="1" t="s">
        <v>156</v>
      </c>
      <c r="P5" s="29" t="s">
        <v>161</v>
      </c>
      <c r="Q5" s="29" t="s">
        <v>162</v>
      </c>
      <c r="R5" s="1" t="s">
        <v>163</v>
      </c>
      <c r="S5" s="30" t="s">
        <v>127</v>
      </c>
      <c r="T5" s="1" t="s">
        <v>156</v>
      </c>
      <c r="U5" s="5" t="s">
        <v>164</v>
      </c>
      <c r="V5" s="1"/>
      <c r="W5" s="5"/>
    </row>
    <row r="6" spans="1:38" ht="15.75" customHeight="1">
      <c r="A6" s="31" t="s">
        <v>165</v>
      </c>
      <c r="B6" s="254">
        <f>AVERAGE(B7:B1002)</f>
        <v>6.2</v>
      </c>
      <c r="C6" s="255">
        <v>220</v>
      </c>
      <c r="D6" s="256">
        <f>AVERAGE(D7:D103)</f>
        <v>154.9</v>
      </c>
      <c r="E6" s="256">
        <f>AVERAGE(E7:E103)</f>
        <v>471.69499999999999</v>
      </c>
      <c r="F6" s="256">
        <f>AVERAGE(F7:F103)</f>
        <v>9315.7999999999993</v>
      </c>
      <c r="G6" s="257">
        <f>AVERAGE(G7:G102)</f>
        <v>0.7040909090909091</v>
      </c>
      <c r="H6" s="257">
        <f>AVERAGE(H7:H102)</f>
        <v>0.12246789321789323</v>
      </c>
      <c r="I6" s="256">
        <f>AVERAGE(I7:I102)</f>
        <v>7.4174523809523807</v>
      </c>
      <c r="J6" s="258"/>
      <c r="K6" s="254">
        <f>AVERAGE(K7:K1002)</f>
        <v>7.2857142857142856</v>
      </c>
      <c r="L6" s="254">
        <f>AVERAGE(L7:L102)</f>
        <v>3.2271428571428573</v>
      </c>
      <c r="M6" s="254">
        <f>AVERAGE(M7:M102)</f>
        <v>0.45422619047619045</v>
      </c>
      <c r="N6" s="256">
        <f>AVERAGE(N7:N1002)</f>
        <v>694.71428571428567</v>
      </c>
      <c r="O6" s="258"/>
      <c r="P6" s="255">
        <f>AVERAGE(P7:P1002)</f>
        <v>4</v>
      </c>
      <c r="Q6" s="256">
        <f>AVERAGE(Q7:Q1002)</f>
        <v>3.1866666666666661</v>
      </c>
      <c r="R6" s="257">
        <f>AVERAGE(R7:R103)</f>
        <v>0.79666666666666652</v>
      </c>
      <c r="S6" s="256">
        <f>AVERAGE(S7:S1002)</f>
        <v>998.66666666666663</v>
      </c>
      <c r="T6" s="255"/>
      <c r="U6" s="255">
        <f>AVERAGE(U7:U103)</f>
        <v>0.375</v>
      </c>
      <c r="V6" s="255"/>
      <c r="W6" s="32"/>
      <c r="X6" s="32"/>
      <c r="Y6" s="32"/>
      <c r="Z6" s="32"/>
      <c r="AA6" s="32"/>
      <c r="AB6" s="32"/>
      <c r="AC6" s="32"/>
      <c r="AD6" s="32"/>
      <c r="AE6" s="32"/>
      <c r="AF6" s="32"/>
      <c r="AG6" s="32"/>
      <c r="AH6" s="32"/>
      <c r="AI6" s="32"/>
      <c r="AJ6" s="32"/>
      <c r="AK6" s="32"/>
      <c r="AL6" s="32"/>
    </row>
    <row r="7" spans="1:38" ht="15.75" customHeight="1">
      <c r="B7" s="227">
        <v>6</v>
      </c>
      <c r="C7" s="227">
        <v>220</v>
      </c>
      <c r="D7" s="227">
        <v>150</v>
      </c>
      <c r="E7" s="227">
        <v>1685</v>
      </c>
      <c r="F7" s="227">
        <v>8800</v>
      </c>
      <c r="G7" s="259">
        <f t="shared" ref="G7:G16" si="0">D7/C7</f>
        <v>0.68181818181818177</v>
      </c>
      <c r="H7" s="260">
        <f>G7/B7</f>
        <v>0.11363636363636363</v>
      </c>
      <c r="I7" s="222">
        <f>48/6</f>
        <v>8</v>
      </c>
      <c r="J7" s="261" t="s">
        <v>166</v>
      </c>
      <c r="K7" s="227">
        <v>8</v>
      </c>
      <c r="L7" s="262">
        <v>1.45</v>
      </c>
      <c r="M7" s="260">
        <f t="shared" ref="M7:M13" si="1">L7/K7</f>
        <v>0.18124999999999999</v>
      </c>
      <c r="N7" s="263">
        <v>679</v>
      </c>
      <c r="O7" s="236" t="s">
        <v>167</v>
      </c>
      <c r="P7" s="227">
        <v>4</v>
      </c>
      <c r="Q7" s="264">
        <v>4.0999999999999996</v>
      </c>
      <c r="R7" s="260">
        <f>Q7/P7</f>
        <v>1.0249999999999999</v>
      </c>
      <c r="S7" s="263">
        <v>499</v>
      </c>
      <c r="T7" s="236" t="s">
        <v>167</v>
      </c>
      <c r="U7" s="227">
        <f>1.5/4</f>
        <v>0.375</v>
      </c>
      <c r="V7" s="236" t="s">
        <v>168</v>
      </c>
    </row>
    <row r="8" spans="1:38" ht="15.75" customHeight="1">
      <c r="B8" s="227">
        <v>8</v>
      </c>
      <c r="C8" s="227">
        <v>220</v>
      </c>
      <c r="D8" s="227">
        <v>132</v>
      </c>
      <c r="E8" s="227">
        <v>599</v>
      </c>
      <c r="F8" s="227">
        <v>10700</v>
      </c>
      <c r="G8" s="235">
        <f t="shared" si="0"/>
        <v>0.6</v>
      </c>
      <c r="H8" s="260">
        <f>(D8/C8)/B8</f>
        <v>7.4999999999999997E-2</v>
      </c>
      <c r="I8" s="217">
        <f t="shared" ref="I8:I16" si="2">F8/C8/B8</f>
        <v>6.0795454545454541</v>
      </c>
      <c r="J8" s="236" t="s">
        <v>167</v>
      </c>
      <c r="K8" s="227">
        <v>7</v>
      </c>
      <c r="L8" s="262">
        <v>1.7</v>
      </c>
      <c r="M8" s="260">
        <f t="shared" si="1"/>
        <v>0.24285714285714285</v>
      </c>
      <c r="N8" s="263">
        <v>999</v>
      </c>
      <c r="O8" s="236" t="s">
        <v>167</v>
      </c>
      <c r="P8" s="227">
        <v>4</v>
      </c>
      <c r="Q8" s="264">
        <v>1.36</v>
      </c>
      <c r="R8" s="260">
        <f>Q8/P8</f>
        <v>0.34</v>
      </c>
      <c r="S8" s="263">
        <v>1798</v>
      </c>
      <c r="T8" s="236" t="s">
        <v>169</v>
      </c>
      <c r="U8" s="265"/>
      <c r="V8" s="222"/>
    </row>
    <row r="9" spans="1:38" ht="15.75" customHeight="1">
      <c r="B9" s="227">
        <v>9</v>
      </c>
      <c r="C9" s="227">
        <v>220</v>
      </c>
      <c r="D9" s="227">
        <v>152</v>
      </c>
      <c r="E9" s="227">
        <v>389</v>
      </c>
      <c r="F9" s="227">
        <v>11220</v>
      </c>
      <c r="G9" s="259">
        <f t="shared" si="0"/>
        <v>0.69090909090909092</v>
      </c>
      <c r="H9" s="260">
        <f t="shared" ref="H9:H16" si="3">G9/B9</f>
        <v>7.6767676767676762E-2</v>
      </c>
      <c r="I9" s="217">
        <f t="shared" si="2"/>
        <v>5.666666666666667</v>
      </c>
      <c r="J9" s="236" t="s">
        <v>167</v>
      </c>
      <c r="K9" s="227">
        <v>7</v>
      </c>
      <c r="L9" s="262">
        <v>4.2</v>
      </c>
      <c r="M9" s="260">
        <f t="shared" si="1"/>
        <v>0.6</v>
      </c>
      <c r="N9" s="263">
        <v>299</v>
      </c>
      <c r="O9" s="236" t="s">
        <v>167</v>
      </c>
      <c r="P9" s="227">
        <v>4</v>
      </c>
      <c r="Q9" s="264">
        <v>4.0999999999999996</v>
      </c>
      <c r="R9" s="260">
        <f>Q9/P9</f>
        <v>1.0249999999999999</v>
      </c>
      <c r="S9" s="263">
        <v>699</v>
      </c>
      <c r="T9" s="236" t="s">
        <v>170</v>
      </c>
      <c r="U9" s="265"/>
      <c r="V9" s="222"/>
    </row>
    <row r="10" spans="1:38" ht="15.75" customHeight="1">
      <c r="B10" s="227">
        <v>7</v>
      </c>
      <c r="C10" s="227">
        <v>220</v>
      </c>
      <c r="D10" s="227">
        <v>174</v>
      </c>
      <c r="E10" s="227">
        <v>499</v>
      </c>
      <c r="F10" s="227">
        <v>8900</v>
      </c>
      <c r="G10" s="259">
        <f t="shared" si="0"/>
        <v>0.79090909090909089</v>
      </c>
      <c r="H10" s="260">
        <f t="shared" si="3"/>
        <v>0.11298701298701298</v>
      </c>
      <c r="I10" s="217">
        <f t="shared" si="2"/>
        <v>5.779220779220779</v>
      </c>
      <c r="J10" s="236" t="s">
        <v>167</v>
      </c>
      <c r="K10" s="227">
        <v>8</v>
      </c>
      <c r="L10" s="262">
        <v>1.99</v>
      </c>
      <c r="M10" s="260">
        <f t="shared" si="1"/>
        <v>0.24875</v>
      </c>
      <c r="N10" s="263">
        <v>699</v>
      </c>
      <c r="O10" s="266" t="s">
        <v>167</v>
      </c>
      <c r="P10" s="263"/>
      <c r="Q10" s="227"/>
      <c r="R10" s="260"/>
      <c r="S10" s="227"/>
      <c r="T10" s="222"/>
      <c r="U10" s="265"/>
      <c r="V10" s="222"/>
    </row>
    <row r="11" spans="1:38" ht="15.75" customHeight="1">
      <c r="B11" s="227">
        <v>6</v>
      </c>
      <c r="C11" s="227">
        <v>220</v>
      </c>
      <c r="D11" s="227">
        <v>173</v>
      </c>
      <c r="E11" s="227">
        <v>249</v>
      </c>
      <c r="F11" s="227">
        <v>8500</v>
      </c>
      <c r="G11" s="259">
        <f t="shared" si="0"/>
        <v>0.78636363636363638</v>
      </c>
      <c r="H11" s="260">
        <f t="shared" si="3"/>
        <v>0.13106060606060607</v>
      </c>
      <c r="I11" s="217">
        <f t="shared" si="2"/>
        <v>6.4393939393939386</v>
      </c>
      <c r="J11" s="236" t="s">
        <v>167</v>
      </c>
      <c r="K11" s="227">
        <v>7</v>
      </c>
      <c r="L11" s="262">
        <v>4.25</v>
      </c>
      <c r="M11" s="260">
        <f t="shared" si="1"/>
        <v>0.6071428571428571</v>
      </c>
      <c r="N11" s="263">
        <v>399</v>
      </c>
      <c r="O11" s="236" t="s">
        <v>167</v>
      </c>
      <c r="P11" s="227"/>
      <c r="Q11" s="227"/>
      <c r="R11" s="260"/>
      <c r="S11" s="227"/>
      <c r="T11" s="222"/>
      <c r="U11" s="265"/>
      <c r="V11" s="222"/>
    </row>
    <row r="12" spans="1:38" ht="15.75" customHeight="1">
      <c r="B12" s="227">
        <v>6</v>
      </c>
      <c r="C12" s="227">
        <v>220</v>
      </c>
      <c r="D12" s="227">
        <v>153</v>
      </c>
      <c r="E12" s="227">
        <v>169</v>
      </c>
      <c r="F12" s="227">
        <v>9240</v>
      </c>
      <c r="G12" s="259">
        <f t="shared" si="0"/>
        <v>0.69545454545454544</v>
      </c>
      <c r="H12" s="260">
        <f t="shared" si="3"/>
        <v>0.11590909090909091</v>
      </c>
      <c r="I12" s="217">
        <f t="shared" si="2"/>
        <v>7</v>
      </c>
      <c r="J12" s="236" t="s">
        <v>167</v>
      </c>
      <c r="K12" s="227">
        <v>8</v>
      </c>
      <c r="L12" s="262">
        <v>4.8099999999999996</v>
      </c>
      <c r="M12" s="260">
        <f t="shared" si="1"/>
        <v>0.60124999999999995</v>
      </c>
      <c r="N12" s="263">
        <v>299</v>
      </c>
      <c r="O12" s="236" t="s">
        <v>167</v>
      </c>
      <c r="P12" s="227"/>
      <c r="Q12" s="227"/>
      <c r="R12" s="260"/>
      <c r="S12" s="227"/>
      <c r="T12" s="222"/>
      <c r="U12" s="265"/>
      <c r="V12" s="222"/>
      <c r="AA12" s="16"/>
    </row>
    <row r="13" spans="1:38">
      <c r="B13" s="227">
        <v>5</v>
      </c>
      <c r="C13" s="227">
        <v>220</v>
      </c>
      <c r="D13" s="227">
        <v>148</v>
      </c>
      <c r="E13" s="264">
        <v>199.95</v>
      </c>
      <c r="F13" s="227">
        <v>9899</v>
      </c>
      <c r="G13" s="259">
        <f t="shared" si="0"/>
        <v>0.67272727272727273</v>
      </c>
      <c r="H13" s="260">
        <f t="shared" si="3"/>
        <v>0.13454545454545455</v>
      </c>
      <c r="I13" s="217">
        <f t="shared" si="2"/>
        <v>8.9990909090909081</v>
      </c>
      <c r="J13" s="236" t="s">
        <v>171</v>
      </c>
      <c r="K13" s="227">
        <v>6</v>
      </c>
      <c r="L13" s="262">
        <v>4.1900000000000004</v>
      </c>
      <c r="M13" s="260">
        <f t="shared" si="1"/>
        <v>0.69833333333333336</v>
      </c>
      <c r="N13" s="263">
        <v>1489</v>
      </c>
      <c r="O13" s="236" t="s">
        <v>167</v>
      </c>
      <c r="P13" s="227"/>
      <c r="Q13" s="227"/>
      <c r="R13" s="260"/>
      <c r="S13" s="227"/>
      <c r="T13" s="222"/>
      <c r="U13" s="265"/>
      <c r="V13" s="222"/>
      <c r="Z13" s="1"/>
      <c r="AA13" s="33"/>
      <c r="AB13" s="16"/>
      <c r="AC13" s="16"/>
      <c r="AD13" s="16"/>
      <c r="AE13" s="16"/>
      <c r="AF13" s="16"/>
      <c r="AG13" s="16"/>
      <c r="AH13" s="16"/>
      <c r="AI13" s="16"/>
      <c r="AJ13" s="16"/>
      <c r="AK13" s="16"/>
      <c r="AL13" s="16"/>
    </row>
    <row r="14" spans="1:38">
      <c r="B14" s="227">
        <v>8</v>
      </c>
      <c r="C14" s="227">
        <v>220</v>
      </c>
      <c r="D14" s="227">
        <v>200</v>
      </c>
      <c r="E14" s="227">
        <v>209</v>
      </c>
      <c r="F14" s="227">
        <v>11200</v>
      </c>
      <c r="G14" s="259">
        <f t="shared" si="0"/>
        <v>0.90909090909090906</v>
      </c>
      <c r="H14" s="260">
        <f t="shared" si="3"/>
        <v>0.11363636363636363</v>
      </c>
      <c r="I14" s="217">
        <f t="shared" si="2"/>
        <v>6.3636363636363633</v>
      </c>
      <c r="J14" s="236" t="s">
        <v>171</v>
      </c>
      <c r="K14" s="227"/>
      <c r="L14" s="262"/>
      <c r="M14" s="260"/>
      <c r="N14" s="227"/>
      <c r="O14" s="222"/>
      <c r="P14" s="227"/>
      <c r="Q14" s="227"/>
      <c r="R14" s="222"/>
      <c r="S14" s="227"/>
      <c r="T14" s="222"/>
      <c r="U14" s="265"/>
      <c r="V14" s="222"/>
      <c r="Z14" s="1"/>
      <c r="AA14" s="16"/>
      <c r="AB14" s="16"/>
      <c r="AC14" s="16"/>
      <c r="AD14" s="16"/>
      <c r="AE14" s="16"/>
      <c r="AF14" s="16"/>
      <c r="AG14" s="16"/>
      <c r="AH14" s="16"/>
      <c r="AI14" s="16"/>
      <c r="AJ14" s="16"/>
      <c r="AK14" s="16"/>
      <c r="AL14" s="13"/>
    </row>
    <row r="15" spans="1:38">
      <c r="B15" s="227">
        <v>3</v>
      </c>
      <c r="C15" s="227">
        <v>220</v>
      </c>
      <c r="D15" s="227">
        <v>126</v>
      </c>
      <c r="E15" s="227">
        <v>379</v>
      </c>
      <c r="F15" s="227">
        <v>8299</v>
      </c>
      <c r="G15" s="259">
        <f t="shared" si="0"/>
        <v>0.57272727272727275</v>
      </c>
      <c r="H15" s="260">
        <f t="shared" si="3"/>
        <v>0.19090909090909092</v>
      </c>
      <c r="I15" s="217">
        <f t="shared" si="2"/>
        <v>12.574242424242426</v>
      </c>
      <c r="J15" s="236" t="s">
        <v>171</v>
      </c>
      <c r="K15" s="227"/>
      <c r="L15" s="262"/>
      <c r="M15" s="260"/>
      <c r="N15" s="227"/>
      <c r="O15" s="222"/>
      <c r="P15" s="227"/>
      <c r="Q15" s="227"/>
      <c r="R15" s="222"/>
      <c r="S15" s="227"/>
      <c r="T15" s="222"/>
      <c r="U15" s="265"/>
      <c r="V15" s="222"/>
      <c r="Z15" s="1"/>
      <c r="AA15" s="8"/>
      <c r="AB15" s="16"/>
      <c r="AC15" s="16"/>
      <c r="AD15" s="16"/>
      <c r="AE15" s="16"/>
      <c r="AF15" s="16"/>
      <c r="AG15" s="16"/>
      <c r="AH15" s="16"/>
      <c r="AI15" s="16"/>
      <c r="AJ15" s="16"/>
      <c r="AK15" s="16"/>
      <c r="AL15" s="13"/>
    </row>
    <row r="16" spans="1:38">
      <c r="B16" s="227">
        <v>4</v>
      </c>
      <c r="C16" s="227">
        <v>220</v>
      </c>
      <c r="D16" s="227">
        <v>141</v>
      </c>
      <c r="E16" s="227">
        <v>339</v>
      </c>
      <c r="F16" s="227">
        <v>6400</v>
      </c>
      <c r="G16" s="259">
        <f t="shared" si="0"/>
        <v>0.64090909090909087</v>
      </c>
      <c r="H16" s="260">
        <f t="shared" si="3"/>
        <v>0.16022727272727272</v>
      </c>
      <c r="I16" s="217">
        <f t="shared" si="2"/>
        <v>7.2727272727272725</v>
      </c>
      <c r="J16" s="236" t="s">
        <v>172</v>
      </c>
      <c r="K16" s="227"/>
      <c r="L16" s="262"/>
      <c r="M16" s="260"/>
      <c r="N16" s="227"/>
      <c r="O16" s="222"/>
      <c r="P16" s="227"/>
      <c r="Q16" s="227"/>
      <c r="R16" s="222"/>
      <c r="S16" s="227"/>
      <c r="T16" s="222"/>
      <c r="U16" s="265"/>
      <c r="V16" s="222"/>
      <c r="Z16" s="1"/>
      <c r="AA16" s="8"/>
      <c r="AB16" s="16"/>
      <c r="AC16" s="16"/>
      <c r="AD16" s="16"/>
      <c r="AE16" s="16"/>
      <c r="AF16" s="16"/>
      <c r="AG16" s="16"/>
      <c r="AH16" s="19"/>
      <c r="AI16" s="16"/>
      <c r="AJ16" s="16"/>
      <c r="AK16" s="16"/>
      <c r="AL16" s="16"/>
    </row>
    <row r="17" spans="2:38">
      <c r="B17" s="227"/>
      <c r="C17" s="227"/>
      <c r="D17" s="227"/>
      <c r="E17" s="227"/>
      <c r="F17" s="227"/>
      <c r="G17" s="259"/>
      <c r="H17" s="260"/>
      <c r="I17" s="260"/>
      <c r="J17" s="222"/>
      <c r="K17" s="227"/>
      <c r="L17" s="227"/>
      <c r="M17" s="222"/>
      <c r="N17" s="265"/>
      <c r="O17" s="221"/>
      <c r="P17" s="227"/>
      <c r="Q17" s="227"/>
      <c r="R17" s="222"/>
      <c r="S17" s="227"/>
      <c r="T17" s="222"/>
      <c r="U17" s="265"/>
      <c r="V17" s="222"/>
      <c r="Z17" s="1"/>
      <c r="AA17" s="13"/>
      <c r="AB17" s="16"/>
      <c r="AC17" s="16"/>
      <c r="AD17" s="16"/>
      <c r="AE17" s="16"/>
      <c r="AF17" s="16"/>
      <c r="AG17" s="16"/>
      <c r="AH17" s="16"/>
      <c r="AI17" s="16"/>
      <c r="AJ17" s="16"/>
      <c r="AK17" s="16"/>
      <c r="AL17" s="16"/>
    </row>
    <row r="18" spans="2:38">
      <c r="B18" s="227"/>
      <c r="C18" s="227"/>
      <c r="D18" s="227"/>
      <c r="E18" s="227"/>
      <c r="F18" s="227"/>
      <c r="G18" s="259"/>
      <c r="H18" s="260"/>
      <c r="I18" s="260"/>
      <c r="J18" s="222"/>
      <c r="K18" s="227"/>
      <c r="L18" s="227"/>
      <c r="M18" s="222"/>
      <c r="N18" s="265"/>
      <c r="O18" s="221"/>
      <c r="P18" s="227"/>
      <c r="Q18" s="227"/>
      <c r="R18" s="222"/>
      <c r="S18" s="227"/>
      <c r="T18" s="222"/>
      <c r="U18" s="265"/>
      <c r="V18" s="222"/>
      <c r="Z18" s="1"/>
      <c r="AA18" s="13"/>
      <c r="AB18" s="6"/>
      <c r="AC18" s="16"/>
      <c r="AD18" s="6"/>
      <c r="AE18" s="6"/>
      <c r="AF18" s="6"/>
      <c r="AG18" s="6"/>
      <c r="AH18" s="6"/>
      <c r="AI18" s="6"/>
      <c r="AJ18" s="6"/>
      <c r="AK18" s="6"/>
      <c r="AL18" s="10"/>
    </row>
    <row r="19" spans="2:38">
      <c r="B19" s="227"/>
      <c r="C19" s="227"/>
      <c r="D19" s="227"/>
      <c r="E19" s="227"/>
      <c r="F19" s="227"/>
      <c r="G19" s="259"/>
      <c r="H19" s="260"/>
      <c r="I19" s="260"/>
      <c r="J19" s="222"/>
      <c r="K19" s="227"/>
      <c r="L19" s="227"/>
      <c r="M19" s="222"/>
      <c r="N19" s="265"/>
      <c r="O19" s="221"/>
      <c r="P19" s="227"/>
      <c r="Q19" s="227"/>
      <c r="R19" s="222"/>
      <c r="S19" s="227"/>
      <c r="T19" s="222"/>
      <c r="U19" s="265"/>
      <c r="V19" s="222"/>
      <c r="Z19" s="1"/>
      <c r="AA19" s="6"/>
      <c r="AB19" s="6"/>
      <c r="AC19" s="6"/>
      <c r="AD19" s="6"/>
      <c r="AE19" s="6"/>
      <c r="AF19" s="6"/>
      <c r="AG19" s="6"/>
      <c r="AH19" s="6"/>
      <c r="AI19" s="6"/>
      <c r="AJ19" s="6"/>
      <c r="AK19" s="6"/>
      <c r="AL19" s="6"/>
    </row>
    <row r="20" spans="2:38">
      <c r="B20" s="227"/>
      <c r="C20" s="227"/>
      <c r="D20" s="227"/>
      <c r="E20" s="227"/>
      <c r="F20" s="227"/>
      <c r="G20" s="259"/>
      <c r="H20" s="260"/>
      <c r="I20" s="260"/>
      <c r="J20" s="222"/>
      <c r="K20" s="227"/>
      <c r="L20" s="227"/>
      <c r="M20" s="222"/>
      <c r="N20" s="265"/>
      <c r="O20" s="221"/>
      <c r="P20" s="265"/>
      <c r="Q20" s="265"/>
      <c r="R20" s="222"/>
      <c r="S20" s="227"/>
      <c r="T20" s="222"/>
      <c r="U20" s="265"/>
      <c r="V20" s="222"/>
      <c r="Z20" s="1"/>
      <c r="AA20" s="19"/>
      <c r="AB20" s="16"/>
      <c r="AC20" s="19"/>
      <c r="AD20" s="19"/>
      <c r="AE20" s="8"/>
      <c r="AF20" s="8"/>
      <c r="AG20" s="8"/>
      <c r="AH20" s="8"/>
      <c r="AI20" s="8"/>
      <c r="AJ20" s="8"/>
      <c r="AK20" s="8"/>
      <c r="AL20" s="8"/>
    </row>
    <row r="21" spans="2:38">
      <c r="B21" s="227"/>
      <c r="C21" s="227"/>
      <c r="D21" s="227"/>
      <c r="E21" s="227"/>
      <c r="F21" s="227"/>
      <c r="G21" s="259"/>
      <c r="H21" s="260"/>
      <c r="I21" s="260"/>
      <c r="J21" s="222"/>
      <c r="K21" s="227"/>
      <c r="L21" s="227"/>
      <c r="M21" s="222"/>
      <c r="N21" s="265"/>
      <c r="O21" s="221"/>
      <c r="P21" s="265"/>
      <c r="Q21" s="265"/>
      <c r="R21" s="222"/>
      <c r="S21" s="227"/>
      <c r="T21" s="222"/>
      <c r="U21" s="265"/>
      <c r="V21" s="222"/>
      <c r="Z21" s="1"/>
      <c r="AB21" s="34"/>
      <c r="AC21" s="20"/>
      <c r="AD21" s="20"/>
      <c r="AE21" s="20"/>
      <c r="AF21" s="20"/>
      <c r="AG21" s="20"/>
      <c r="AH21" s="20"/>
      <c r="AI21" s="20"/>
      <c r="AJ21" s="20"/>
      <c r="AK21" s="20"/>
      <c r="AL21" s="20"/>
    </row>
    <row r="22" spans="2:38">
      <c r="B22" s="227"/>
      <c r="C22" s="227"/>
      <c r="D22" s="227"/>
      <c r="E22" s="227"/>
      <c r="F22" s="227"/>
      <c r="G22" s="259"/>
      <c r="H22" s="260"/>
      <c r="I22" s="260"/>
      <c r="J22" s="222"/>
      <c r="K22" s="227"/>
      <c r="L22" s="227"/>
      <c r="M22" s="222"/>
      <c r="N22" s="265"/>
      <c r="O22" s="221"/>
      <c r="P22" s="265"/>
      <c r="Q22" s="265"/>
      <c r="R22" s="222"/>
      <c r="S22" s="227"/>
      <c r="T22" s="222"/>
      <c r="U22" s="265"/>
      <c r="V22" s="222"/>
      <c r="Z22" s="29"/>
      <c r="AA22" s="33"/>
      <c r="AB22" s="16"/>
      <c r="AC22" s="16"/>
      <c r="AD22" s="16"/>
      <c r="AE22" s="16"/>
      <c r="AF22" s="16"/>
      <c r="AG22" s="16"/>
      <c r="AH22" s="16"/>
      <c r="AI22" s="13"/>
      <c r="AJ22" s="13"/>
      <c r="AK22" s="13"/>
      <c r="AL22" s="13"/>
    </row>
    <row r="23" spans="2:38">
      <c r="B23" s="265"/>
      <c r="C23" s="265"/>
      <c r="D23" s="265"/>
      <c r="E23" s="265"/>
      <c r="F23" s="265"/>
      <c r="G23" s="221"/>
      <c r="H23" s="221"/>
      <c r="I23" s="221"/>
      <c r="J23" s="221"/>
      <c r="K23" s="265"/>
      <c r="L23" s="265"/>
      <c r="M23" s="222"/>
      <c r="N23" s="265"/>
      <c r="O23" s="221"/>
      <c r="P23" s="265"/>
      <c r="Q23" s="265"/>
      <c r="R23" s="222"/>
      <c r="S23" s="227"/>
      <c r="T23" s="222"/>
      <c r="U23" s="265"/>
      <c r="V23" s="222"/>
      <c r="Z23" s="29"/>
      <c r="AA23" s="33"/>
      <c r="AB23" s="10"/>
      <c r="AC23" s="10"/>
      <c r="AD23" s="10"/>
      <c r="AE23" s="10"/>
      <c r="AF23" s="10"/>
      <c r="AG23" s="10"/>
      <c r="AH23" s="10"/>
      <c r="AI23" s="6"/>
      <c r="AJ23" s="6"/>
      <c r="AK23" s="6"/>
      <c r="AL23" s="13"/>
    </row>
    <row r="24" spans="2:38">
      <c r="B24" s="265"/>
      <c r="C24" s="265"/>
      <c r="D24" s="265"/>
      <c r="E24" s="265"/>
      <c r="F24" s="265"/>
      <c r="G24" s="221"/>
      <c r="H24" s="221"/>
      <c r="I24" s="221"/>
      <c r="J24" s="221"/>
      <c r="K24" s="265"/>
      <c r="L24" s="265"/>
      <c r="M24" s="222"/>
      <c r="N24" s="265"/>
      <c r="O24" s="221"/>
      <c r="P24" s="265"/>
      <c r="Q24" s="265"/>
      <c r="R24" s="222"/>
      <c r="S24" s="227"/>
      <c r="T24" s="222"/>
      <c r="U24" s="265"/>
      <c r="V24" s="222"/>
      <c r="Z24" s="1"/>
      <c r="AA24" s="33"/>
      <c r="AB24" s="10"/>
      <c r="AC24" s="10"/>
      <c r="AD24" s="10"/>
      <c r="AE24" s="6"/>
      <c r="AF24" s="6"/>
      <c r="AG24" s="6"/>
      <c r="AH24" s="6"/>
      <c r="AI24" s="6"/>
      <c r="AJ24" s="6"/>
      <c r="AK24" s="6"/>
      <c r="AL24" s="13"/>
    </row>
    <row r="25" spans="2:38">
      <c r="B25" s="265"/>
      <c r="C25" s="265"/>
      <c r="D25" s="265"/>
      <c r="E25" s="265"/>
      <c r="F25" s="265"/>
      <c r="G25" s="221"/>
      <c r="H25" s="221"/>
      <c r="I25" s="221"/>
      <c r="J25" s="221"/>
      <c r="K25" s="265"/>
      <c r="L25" s="265"/>
      <c r="M25" s="222"/>
      <c r="N25" s="265"/>
      <c r="O25" s="221"/>
      <c r="P25" s="265"/>
      <c r="Q25" s="265"/>
      <c r="R25" s="222"/>
      <c r="S25" s="227"/>
      <c r="T25" s="222"/>
      <c r="U25" s="265"/>
      <c r="V25" s="222"/>
      <c r="Z25" s="30"/>
      <c r="AA25" s="8"/>
      <c r="AB25" s="18"/>
      <c r="AC25" s="18"/>
      <c r="AD25" s="18"/>
      <c r="AE25" s="18"/>
      <c r="AF25" s="18"/>
      <c r="AG25" s="18"/>
      <c r="AH25" s="18"/>
      <c r="AI25" s="13"/>
      <c r="AJ25" s="13"/>
      <c r="AK25" s="13"/>
      <c r="AL25" s="13"/>
    </row>
    <row r="26" spans="2:38">
      <c r="B26" s="265"/>
      <c r="C26" s="265"/>
      <c r="D26" s="265"/>
      <c r="E26" s="265"/>
      <c r="F26" s="265"/>
      <c r="G26" s="221"/>
      <c r="H26" s="221"/>
      <c r="I26" s="221"/>
      <c r="J26" s="221"/>
      <c r="K26" s="265"/>
      <c r="L26" s="265"/>
      <c r="M26" s="222"/>
      <c r="N26" s="265"/>
      <c r="O26" s="221"/>
      <c r="P26" s="265"/>
      <c r="Q26" s="265"/>
      <c r="R26" s="222"/>
      <c r="S26" s="227"/>
      <c r="T26" s="222"/>
      <c r="U26" s="265"/>
      <c r="V26" s="222"/>
      <c r="Z26" s="1"/>
      <c r="AB26" s="20"/>
      <c r="AC26" s="20"/>
      <c r="AD26" s="20"/>
      <c r="AE26" s="20"/>
      <c r="AF26" s="20"/>
      <c r="AG26" s="20"/>
      <c r="AH26" s="20"/>
      <c r="AI26" s="13"/>
      <c r="AJ26" s="13"/>
      <c r="AK26" s="13"/>
      <c r="AL26" s="13"/>
    </row>
    <row r="27" spans="2:38">
      <c r="B27" s="265"/>
      <c r="C27" s="265"/>
      <c r="D27" s="265"/>
      <c r="E27" s="265"/>
      <c r="F27" s="265"/>
      <c r="G27" s="221"/>
      <c r="H27" s="221"/>
      <c r="I27" s="221"/>
      <c r="J27" s="221"/>
      <c r="K27" s="265"/>
      <c r="L27" s="265"/>
      <c r="M27" s="222"/>
      <c r="N27" s="265"/>
      <c r="O27" s="221"/>
      <c r="P27" s="265"/>
      <c r="Q27" s="265"/>
      <c r="R27" s="222"/>
      <c r="S27" s="227"/>
      <c r="T27" s="222"/>
      <c r="U27" s="265"/>
      <c r="V27" s="222"/>
      <c r="Z27" s="29"/>
      <c r="AA27" s="13"/>
      <c r="AB27" s="16"/>
      <c r="AC27" s="16"/>
      <c r="AD27" s="16"/>
      <c r="AE27" s="35"/>
      <c r="AF27" s="13"/>
      <c r="AG27" s="13"/>
      <c r="AH27" s="13"/>
    </row>
    <row r="28" spans="2:38">
      <c r="B28" s="265"/>
      <c r="C28" s="265"/>
      <c r="D28" s="265"/>
      <c r="E28" s="265"/>
      <c r="F28" s="265"/>
      <c r="G28" s="221"/>
      <c r="H28" s="221"/>
      <c r="I28" s="221"/>
      <c r="J28" s="221"/>
      <c r="K28" s="265"/>
      <c r="L28" s="265"/>
      <c r="M28" s="222"/>
      <c r="N28" s="265"/>
      <c r="O28" s="221"/>
      <c r="P28" s="265"/>
      <c r="Q28" s="265"/>
      <c r="R28" s="222"/>
      <c r="S28" s="227"/>
      <c r="T28" s="222"/>
      <c r="U28" s="265"/>
      <c r="V28" s="222"/>
      <c r="Z28" s="29"/>
      <c r="AA28" s="13"/>
      <c r="AB28" s="19"/>
      <c r="AC28" s="19"/>
      <c r="AD28" s="19"/>
      <c r="AE28" s="13"/>
      <c r="AF28" s="13"/>
      <c r="AG28" s="13"/>
      <c r="AH28" s="13"/>
    </row>
    <row r="29" spans="2:38">
      <c r="B29" s="265"/>
      <c r="C29" s="265"/>
      <c r="D29" s="265"/>
      <c r="E29" s="265"/>
      <c r="F29" s="265"/>
      <c r="G29" s="221"/>
      <c r="H29" s="221"/>
      <c r="I29" s="221"/>
      <c r="J29" s="221"/>
      <c r="K29" s="265"/>
      <c r="L29" s="265"/>
      <c r="M29" s="222"/>
      <c r="N29" s="265"/>
      <c r="O29" s="221"/>
      <c r="P29" s="265"/>
      <c r="Q29" s="265"/>
      <c r="R29" s="222"/>
      <c r="S29" s="227"/>
      <c r="T29" s="222"/>
      <c r="U29" s="265"/>
      <c r="V29" s="222"/>
      <c r="Z29" s="1"/>
      <c r="AA29" s="6"/>
      <c r="AB29" s="6"/>
      <c r="AC29" s="6"/>
      <c r="AD29" s="6"/>
      <c r="AE29" s="6"/>
      <c r="AF29" s="6"/>
      <c r="AG29" s="6"/>
      <c r="AH29" s="6"/>
      <c r="AI29" s="13"/>
      <c r="AJ29" s="13"/>
      <c r="AK29" s="13"/>
      <c r="AL29" s="13"/>
    </row>
    <row r="30" spans="2:38">
      <c r="B30" s="221"/>
      <c r="C30" s="221"/>
      <c r="D30" s="221"/>
      <c r="E30" s="221"/>
      <c r="F30" s="221"/>
      <c r="G30" s="221"/>
      <c r="H30" s="221"/>
      <c r="I30" s="221"/>
      <c r="J30" s="221"/>
      <c r="K30" s="221"/>
      <c r="L30" s="221"/>
      <c r="M30" s="222"/>
      <c r="N30" s="265"/>
      <c r="O30" s="221"/>
      <c r="P30" s="265"/>
      <c r="Q30" s="265"/>
      <c r="R30" s="222"/>
      <c r="S30" s="227"/>
      <c r="T30" s="222"/>
      <c r="U30" s="265"/>
      <c r="V30" s="222"/>
      <c r="Z30" s="30"/>
      <c r="AA30" s="8"/>
      <c r="AB30" s="18"/>
      <c r="AC30" s="18"/>
      <c r="AD30" s="18"/>
      <c r="AE30" s="13"/>
      <c r="AF30" s="13"/>
      <c r="AG30" s="13"/>
      <c r="AH30" s="13"/>
      <c r="AI30" s="13"/>
      <c r="AJ30" s="13"/>
      <c r="AK30" s="13"/>
      <c r="AL30" s="13"/>
    </row>
    <row r="31" spans="2:38">
      <c r="M31" s="13"/>
      <c r="R31" s="13"/>
      <c r="S31" s="13"/>
      <c r="T31" s="13"/>
      <c r="V31" s="13"/>
      <c r="Z31" s="1"/>
      <c r="AA31" s="13"/>
      <c r="AB31" s="20"/>
      <c r="AC31" s="20"/>
      <c r="AD31" s="20"/>
      <c r="AE31" s="13"/>
      <c r="AF31" s="13"/>
      <c r="AG31" s="13"/>
      <c r="AH31" s="13"/>
      <c r="AI31" s="13"/>
      <c r="AJ31" s="13"/>
      <c r="AK31" s="13"/>
      <c r="AL31" s="13"/>
    </row>
    <row r="32" spans="2:38">
      <c r="M32" s="13"/>
      <c r="R32" s="13"/>
      <c r="S32" s="13"/>
      <c r="T32" s="13"/>
      <c r="V32" s="13"/>
      <c r="Z32" s="5"/>
      <c r="AA32" s="13"/>
      <c r="AB32" s="16"/>
    </row>
    <row r="33" spans="13:38">
      <c r="M33" s="13"/>
      <c r="R33" s="13"/>
      <c r="S33" s="13"/>
      <c r="T33" s="13"/>
      <c r="V33" s="13"/>
      <c r="Z33" s="1"/>
      <c r="AA33" s="13"/>
      <c r="AB33" s="20"/>
      <c r="AC33" s="13"/>
      <c r="AD33" s="13"/>
      <c r="AE33" s="13"/>
      <c r="AF33" s="13"/>
      <c r="AG33" s="13"/>
      <c r="AH33" s="13"/>
      <c r="AI33" s="13"/>
      <c r="AJ33" s="13"/>
      <c r="AK33" s="13"/>
      <c r="AL33" s="13"/>
    </row>
    <row r="34" spans="13:38" ht="15.75" customHeight="1">
      <c r="M34" s="13"/>
      <c r="R34" s="13"/>
      <c r="S34" s="13"/>
      <c r="T34" s="13"/>
      <c r="V34" s="13"/>
    </row>
    <row r="35" spans="13:38" ht="15.75" customHeight="1">
      <c r="M35" s="13"/>
      <c r="R35" s="13"/>
      <c r="S35" s="13"/>
      <c r="T35" s="13"/>
      <c r="V35" s="13"/>
    </row>
    <row r="36" spans="13:38" ht="15.75" customHeight="1">
      <c r="M36" s="13"/>
      <c r="R36" s="13"/>
      <c r="S36" s="13"/>
      <c r="T36" s="13"/>
      <c r="V36" s="13"/>
    </row>
    <row r="37" spans="13:38" ht="15.75" customHeight="1">
      <c r="M37" s="13"/>
      <c r="R37" s="13"/>
      <c r="S37" s="13"/>
      <c r="T37" s="13"/>
      <c r="V37" s="13"/>
    </row>
    <row r="38" spans="13:38" ht="15.75" customHeight="1">
      <c r="M38" s="13"/>
      <c r="R38" s="13"/>
      <c r="S38" s="13"/>
      <c r="T38" s="13"/>
      <c r="V38" s="13"/>
    </row>
    <row r="39" spans="13:38" ht="15.75" customHeight="1">
      <c r="M39" s="13"/>
      <c r="R39" s="13"/>
      <c r="S39" s="13"/>
      <c r="T39" s="13"/>
      <c r="V39" s="13"/>
    </row>
    <row r="40" spans="13:38" ht="15.75" customHeight="1">
      <c r="M40" s="13"/>
      <c r="R40" s="13"/>
      <c r="S40" s="13"/>
      <c r="T40" s="13"/>
      <c r="V40" s="13"/>
    </row>
    <row r="41" spans="13:38" ht="15.75" customHeight="1">
      <c r="M41" s="13"/>
      <c r="R41" s="13"/>
      <c r="S41" s="13"/>
      <c r="T41" s="13"/>
      <c r="V41" s="13"/>
    </row>
    <row r="42" spans="13:38" ht="15.75" customHeight="1">
      <c r="M42" s="13"/>
      <c r="R42" s="13"/>
      <c r="S42" s="13"/>
      <c r="T42" s="13"/>
      <c r="V42" s="13"/>
    </row>
    <row r="43" spans="13:38" ht="15.75" customHeight="1">
      <c r="M43" s="13"/>
      <c r="R43" s="13"/>
      <c r="S43" s="13"/>
      <c r="T43" s="13"/>
      <c r="V43" s="13"/>
    </row>
    <row r="44" spans="13:38" ht="15.75" customHeight="1">
      <c r="M44" s="13"/>
      <c r="R44" s="13"/>
      <c r="S44" s="13"/>
      <c r="T44" s="13"/>
      <c r="V44" s="13"/>
    </row>
    <row r="45" spans="13:38" ht="15.75" customHeight="1">
      <c r="M45" s="13"/>
      <c r="R45" s="13"/>
      <c r="S45" s="13"/>
      <c r="T45" s="13"/>
      <c r="V45" s="13"/>
    </row>
    <row r="46" spans="13:38" ht="15.75" customHeight="1">
      <c r="M46" s="13"/>
      <c r="R46" s="13"/>
      <c r="S46" s="13"/>
      <c r="T46" s="13"/>
      <c r="V46" s="13"/>
    </row>
    <row r="47" spans="13:38" ht="12.5">
      <c r="M47" s="13"/>
      <c r="R47" s="13"/>
      <c r="S47" s="13"/>
      <c r="T47" s="13"/>
      <c r="V47" s="13"/>
    </row>
    <row r="48" spans="13:38" ht="12.5">
      <c r="M48" s="13"/>
      <c r="R48" s="13"/>
      <c r="S48" s="13"/>
      <c r="T48" s="13"/>
      <c r="V48" s="13"/>
    </row>
    <row r="49" spans="13:22" ht="12.5">
      <c r="M49" s="13"/>
      <c r="R49" s="13"/>
      <c r="S49" s="13"/>
      <c r="T49" s="13"/>
      <c r="V49" s="13"/>
    </row>
    <row r="50" spans="13:22" ht="12.5">
      <c r="M50" s="13"/>
      <c r="R50" s="13"/>
      <c r="S50" s="13"/>
      <c r="T50" s="13"/>
      <c r="V50" s="13"/>
    </row>
    <row r="51" spans="13:22" ht="12.5">
      <c r="M51" s="13"/>
      <c r="R51" s="13"/>
      <c r="S51" s="13"/>
      <c r="T51" s="13"/>
      <c r="V51" s="13"/>
    </row>
    <row r="52" spans="13:22" ht="12.5">
      <c r="M52" s="13"/>
      <c r="R52" s="13"/>
      <c r="S52" s="13"/>
      <c r="T52" s="13"/>
      <c r="V52" s="13"/>
    </row>
    <row r="53" spans="13:22" ht="12.5">
      <c r="M53" s="13"/>
      <c r="R53" s="13"/>
      <c r="S53" s="13"/>
      <c r="T53" s="13"/>
      <c r="V53" s="13"/>
    </row>
    <row r="54" spans="13:22" ht="12.5">
      <c r="M54" s="13"/>
      <c r="R54" s="13"/>
      <c r="S54" s="13"/>
      <c r="T54" s="13"/>
      <c r="V54" s="13"/>
    </row>
    <row r="55" spans="13:22" ht="12.5">
      <c r="M55" s="13"/>
      <c r="R55" s="13"/>
      <c r="S55" s="13"/>
      <c r="T55" s="13"/>
      <c r="V55" s="13"/>
    </row>
    <row r="56" spans="13:22" ht="12.5">
      <c r="M56" s="13"/>
      <c r="R56" s="13"/>
      <c r="S56" s="13"/>
      <c r="T56" s="13"/>
      <c r="V56" s="13"/>
    </row>
    <row r="57" spans="13:22" ht="12.5">
      <c r="M57" s="13"/>
      <c r="R57" s="13"/>
      <c r="S57" s="13"/>
      <c r="T57" s="13"/>
      <c r="V57" s="13"/>
    </row>
    <row r="58" spans="13:22" ht="12.5">
      <c r="M58" s="13"/>
      <c r="R58" s="13"/>
      <c r="S58" s="13"/>
      <c r="T58" s="13"/>
      <c r="V58" s="13"/>
    </row>
    <row r="59" spans="13:22" ht="12.5">
      <c r="M59" s="13"/>
      <c r="R59" s="13"/>
      <c r="S59" s="13"/>
      <c r="T59" s="13"/>
      <c r="V59" s="13"/>
    </row>
    <row r="60" spans="13:22" ht="12.5">
      <c r="M60" s="13"/>
      <c r="R60" s="13"/>
      <c r="S60" s="13"/>
      <c r="T60" s="13"/>
      <c r="V60" s="13"/>
    </row>
    <row r="61" spans="13:22" ht="12.5">
      <c r="M61" s="13"/>
      <c r="R61" s="13"/>
      <c r="S61" s="13"/>
      <c r="T61" s="13"/>
      <c r="V61" s="13"/>
    </row>
    <row r="62" spans="13:22" ht="12.5">
      <c r="M62" s="13"/>
      <c r="R62" s="13"/>
      <c r="S62" s="13"/>
      <c r="T62" s="13"/>
      <c r="V62" s="13"/>
    </row>
    <row r="63" spans="13:22" ht="12.5">
      <c r="M63" s="13"/>
      <c r="R63" s="13"/>
      <c r="S63" s="13"/>
      <c r="T63" s="13"/>
      <c r="V63" s="13"/>
    </row>
    <row r="64" spans="13:22" ht="12.5">
      <c r="M64" s="13"/>
      <c r="R64" s="13"/>
      <c r="S64" s="13"/>
      <c r="T64" s="13"/>
      <c r="V64" s="13"/>
    </row>
    <row r="65" spans="13:22" ht="12.5">
      <c r="M65" s="13"/>
      <c r="R65" s="13"/>
      <c r="S65" s="13"/>
      <c r="T65" s="13"/>
      <c r="V65" s="13"/>
    </row>
    <row r="66" spans="13:22" ht="12.5">
      <c r="M66" s="13"/>
      <c r="R66" s="13"/>
      <c r="S66" s="13"/>
      <c r="T66" s="13"/>
      <c r="V66" s="13"/>
    </row>
    <row r="67" spans="13:22" ht="12.5">
      <c r="M67" s="13"/>
      <c r="R67" s="13"/>
      <c r="S67" s="13"/>
      <c r="T67" s="13"/>
      <c r="V67" s="13"/>
    </row>
    <row r="68" spans="13:22" ht="12.5">
      <c r="M68" s="13"/>
      <c r="R68" s="13"/>
      <c r="S68" s="13"/>
      <c r="T68" s="13"/>
      <c r="V68" s="13"/>
    </row>
    <row r="69" spans="13:22" ht="12.5">
      <c r="M69" s="13"/>
      <c r="R69" s="13"/>
      <c r="S69" s="13"/>
      <c r="T69" s="13"/>
      <c r="V69" s="13"/>
    </row>
    <row r="70" spans="13:22" ht="12.5">
      <c r="M70" s="13"/>
      <c r="R70" s="13"/>
      <c r="S70" s="13"/>
      <c r="T70" s="13"/>
      <c r="V70" s="13"/>
    </row>
    <row r="71" spans="13:22" ht="12.5">
      <c r="M71" s="13"/>
      <c r="R71" s="13"/>
      <c r="S71" s="13"/>
      <c r="T71" s="13"/>
      <c r="V71" s="13"/>
    </row>
    <row r="72" spans="13:22" ht="12.5">
      <c r="M72" s="13"/>
      <c r="R72" s="13"/>
      <c r="S72" s="13"/>
      <c r="T72" s="13"/>
      <c r="V72" s="13"/>
    </row>
    <row r="73" spans="13:22" ht="12.5">
      <c r="M73" s="13"/>
      <c r="R73" s="13"/>
      <c r="S73" s="13"/>
      <c r="T73" s="13"/>
      <c r="V73" s="13"/>
    </row>
    <row r="74" spans="13:22" ht="12.5">
      <c r="M74" s="13"/>
      <c r="R74" s="13"/>
      <c r="S74" s="13"/>
      <c r="T74" s="13"/>
      <c r="V74" s="13"/>
    </row>
    <row r="75" spans="13:22" ht="12.5">
      <c r="M75" s="13"/>
      <c r="R75" s="13"/>
      <c r="S75" s="13"/>
      <c r="T75" s="13"/>
      <c r="V75" s="13"/>
    </row>
    <row r="76" spans="13:22" ht="12.5">
      <c r="M76" s="13"/>
      <c r="R76" s="13"/>
      <c r="S76" s="13"/>
      <c r="T76" s="13"/>
      <c r="V76" s="13"/>
    </row>
    <row r="77" spans="13:22" ht="12.5">
      <c r="M77" s="13"/>
      <c r="R77" s="13"/>
      <c r="S77" s="13"/>
      <c r="T77" s="13"/>
      <c r="V77" s="13"/>
    </row>
    <row r="78" spans="13:22" ht="12.5">
      <c r="M78" s="13"/>
      <c r="R78" s="13"/>
      <c r="S78" s="13"/>
      <c r="T78" s="13"/>
      <c r="V78" s="13"/>
    </row>
    <row r="79" spans="13:22" ht="12.5">
      <c r="M79" s="13"/>
      <c r="R79" s="13"/>
      <c r="S79" s="13"/>
      <c r="T79" s="13"/>
      <c r="V79" s="13"/>
    </row>
    <row r="80" spans="13:22" ht="12.5">
      <c r="M80" s="13"/>
      <c r="R80" s="13"/>
      <c r="S80" s="13"/>
      <c r="T80" s="13"/>
      <c r="V80" s="13"/>
    </row>
    <row r="81" spans="13:22" ht="12.5">
      <c r="M81" s="13"/>
      <c r="R81" s="13"/>
      <c r="S81" s="13"/>
      <c r="T81" s="13"/>
      <c r="V81" s="13"/>
    </row>
    <row r="82" spans="13:22" ht="12.5">
      <c r="M82" s="13"/>
      <c r="R82" s="13"/>
      <c r="S82" s="13"/>
      <c r="T82" s="13"/>
      <c r="V82" s="13"/>
    </row>
    <row r="83" spans="13:22" ht="12.5">
      <c r="M83" s="13"/>
      <c r="R83" s="13"/>
      <c r="S83" s="13"/>
      <c r="T83" s="13"/>
      <c r="V83" s="13"/>
    </row>
    <row r="84" spans="13:22" ht="12.5">
      <c r="M84" s="13"/>
      <c r="R84" s="13"/>
      <c r="S84" s="13"/>
      <c r="T84" s="13"/>
      <c r="V84" s="13"/>
    </row>
    <row r="85" spans="13:22" ht="12.5">
      <c r="M85" s="13"/>
      <c r="R85" s="13"/>
      <c r="S85" s="13"/>
      <c r="T85" s="13"/>
      <c r="V85" s="13"/>
    </row>
    <row r="86" spans="13:22" ht="12.5">
      <c r="M86" s="13"/>
      <c r="R86" s="13"/>
      <c r="S86" s="13"/>
      <c r="T86" s="13"/>
      <c r="V86" s="13"/>
    </row>
    <row r="87" spans="13:22" ht="12.5">
      <c r="M87" s="13"/>
      <c r="R87" s="13"/>
      <c r="S87" s="13"/>
      <c r="T87" s="13"/>
      <c r="V87" s="13"/>
    </row>
    <row r="88" spans="13:22" ht="12.5">
      <c r="M88" s="13"/>
      <c r="R88" s="13"/>
      <c r="S88" s="13"/>
      <c r="T88" s="13"/>
      <c r="V88" s="13"/>
    </row>
    <row r="89" spans="13:22" ht="12.5">
      <c r="M89" s="13"/>
      <c r="R89" s="13"/>
      <c r="S89" s="13"/>
      <c r="T89" s="13"/>
      <c r="V89" s="13"/>
    </row>
    <row r="90" spans="13:22" ht="12.5">
      <c r="M90" s="13"/>
      <c r="R90" s="13"/>
      <c r="S90" s="13"/>
      <c r="T90" s="13"/>
      <c r="V90" s="13"/>
    </row>
    <row r="91" spans="13:22" ht="12.5">
      <c r="M91" s="13"/>
      <c r="R91" s="13"/>
      <c r="S91" s="13"/>
      <c r="T91" s="13"/>
      <c r="V91" s="13"/>
    </row>
    <row r="92" spans="13:22" ht="12.5">
      <c r="M92" s="13"/>
      <c r="R92" s="13"/>
      <c r="S92" s="13"/>
      <c r="T92" s="13"/>
      <c r="V92" s="13"/>
    </row>
    <row r="93" spans="13:22" ht="12.5">
      <c r="M93" s="13"/>
      <c r="R93" s="13"/>
      <c r="S93" s="13"/>
      <c r="T93" s="13"/>
      <c r="V93" s="13"/>
    </row>
    <row r="94" spans="13:22" ht="12.5">
      <c r="M94" s="13"/>
      <c r="R94" s="13"/>
      <c r="S94" s="13"/>
      <c r="T94" s="13"/>
      <c r="V94" s="13"/>
    </row>
    <row r="95" spans="13:22" ht="12.5">
      <c r="M95" s="13"/>
      <c r="R95" s="13"/>
      <c r="S95" s="13"/>
      <c r="T95" s="13"/>
      <c r="V95" s="13"/>
    </row>
    <row r="96" spans="13:22" ht="12.5">
      <c r="M96" s="13"/>
      <c r="R96" s="13"/>
      <c r="S96" s="13"/>
      <c r="T96" s="13"/>
      <c r="V96" s="13"/>
    </row>
    <row r="97" spans="13:22" ht="12.5">
      <c r="M97" s="13"/>
      <c r="R97" s="13"/>
      <c r="S97" s="13"/>
      <c r="T97" s="13"/>
      <c r="V97" s="13"/>
    </row>
    <row r="98" spans="13:22" ht="12.5">
      <c r="M98" s="13"/>
      <c r="R98" s="13"/>
      <c r="S98" s="13"/>
      <c r="T98" s="13"/>
      <c r="V98" s="13"/>
    </row>
    <row r="99" spans="13:22" ht="12.5">
      <c r="M99" s="13"/>
      <c r="R99" s="13"/>
      <c r="S99" s="13"/>
      <c r="T99" s="13"/>
      <c r="V99" s="13"/>
    </row>
    <row r="100" spans="13:22" ht="12.5">
      <c r="M100" s="13"/>
      <c r="R100" s="13"/>
      <c r="S100" s="13"/>
      <c r="T100" s="13"/>
      <c r="V100" s="13"/>
    </row>
    <row r="101" spans="13:22" ht="12.5">
      <c r="M101" s="13"/>
      <c r="R101" s="13"/>
      <c r="S101" s="13"/>
      <c r="T101" s="13"/>
      <c r="V101" s="13"/>
    </row>
    <row r="102" spans="13:22" ht="12.5">
      <c r="M102" s="13"/>
      <c r="R102" s="13"/>
      <c r="S102" s="13"/>
      <c r="T102" s="13"/>
      <c r="V102" s="13"/>
    </row>
    <row r="103" spans="13:22" ht="12.5">
      <c r="M103" s="13"/>
      <c r="R103" s="13"/>
      <c r="S103" s="13"/>
      <c r="T103" s="13"/>
      <c r="V103" s="13"/>
    </row>
    <row r="104" spans="13:22" ht="12.5">
      <c r="M104" s="13"/>
      <c r="R104" s="13"/>
      <c r="S104" s="13"/>
      <c r="T104" s="13"/>
      <c r="V104" s="13"/>
    </row>
    <row r="105" spans="13:22" ht="12.5">
      <c r="M105" s="13"/>
      <c r="R105" s="13"/>
      <c r="S105" s="13"/>
      <c r="T105" s="13"/>
      <c r="V105" s="13"/>
    </row>
    <row r="106" spans="13:22" ht="12.5">
      <c r="M106" s="13"/>
      <c r="R106" s="13"/>
      <c r="S106" s="13"/>
      <c r="T106" s="13"/>
      <c r="V106" s="13"/>
    </row>
    <row r="107" spans="13:22" ht="12.5">
      <c r="M107" s="13"/>
      <c r="R107" s="13"/>
      <c r="S107" s="13"/>
      <c r="T107" s="13"/>
      <c r="V107" s="13"/>
    </row>
    <row r="108" spans="13:22" ht="12.5">
      <c r="M108" s="13"/>
      <c r="R108" s="13"/>
      <c r="S108" s="13"/>
      <c r="T108" s="13"/>
      <c r="V108" s="13"/>
    </row>
    <row r="109" spans="13:22" ht="12.5">
      <c r="M109" s="13"/>
      <c r="R109" s="13"/>
      <c r="S109" s="13"/>
      <c r="T109" s="13"/>
      <c r="V109" s="13"/>
    </row>
    <row r="110" spans="13:22" ht="12.5">
      <c r="M110" s="13"/>
      <c r="R110" s="13"/>
      <c r="S110" s="13"/>
      <c r="T110" s="13"/>
      <c r="V110" s="13"/>
    </row>
    <row r="111" spans="13:22" ht="12.5">
      <c r="M111" s="13"/>
      <c r="R111" s="13"/>
      <c r="S111" s="13"/>
      <c r="T111" s="13"/>
      <c r="V111" s="13"/>
    </row>
    <row r="112" spans="13:22" ht="12.5">
      <c r="M112" s="13"/>
      <c r="R112" s="13"/>
      <c r="S112" s="13"/>
      <c r="T112" s="13"/>
      <c r="V112" s="13"/>
    </row>
    <row r="113" spans="13:22" ht="12.5">
      <c r="M113" s="13"/>
      <c r="R113" s="13"/>
      <c r="S113" s="13"/>
      <c r="T113" s="13"/>
      <c r="V113" s="13"/>
    </row>
    <row r="114" spans="13:22" ht="12.5">
      <c r="M114" s="13"/>
      <c r="R114" s="13"/>
      <c r="S114" s="13"/>
      <c r="T114" s="13"/>
      <c r="V114" s="13"/>
    </row>
    <row r="115" spans="13:22" ht="12.5">
      <c r="M115" s="13"/>
      <c r="R115" s="13"/>
      <c r="S115" s="13"/>
      <c r="T115" s="13"/>
      <c r="V115" s="13"/>
    </row>
    <row r="116" spans="13:22" ht="12.5">
      <c r="M116" s="13"/>
      <c r="R116" s="13"/>
      <c r="S116" s="13"/>
      <c r="T116" s="13"/>
      <c r="V116" s="13"/>
    </row>
    <row r="117" spans="13:22" ht="12.5">
      <c r="M117" s="13"/>
      <c r="R117" s="13"/>
      <c r="S117" s="13"/>
      <c r="T117" s="13"/>
      <c r="V117" s="13"/>
    </row>
    <row r="118" spans="13:22" ht="12.5">
      <c r="M118" s="13"/>
      <c r="R118" s="13"/>
      <c r="S118" s="13"/>
      <c r="T118" s="13"/>
      <c r="V118" s="13"/>
    </row>
    <row r="119" spans="13:22" ht="12.5">
      <c r="M119" s="13"/>
      <c r="R119" s="13"/>
      <c r="S119" s="13"/>
      <c r="T119" s="13"/>
      <c r="V119" s="13"/>
    </row>
    <row r="120" spans="13:22" ht="12.5">
      <c r="M120" s="13"/>
      <c r="R120" s="13"/>
      <c r="S120" s="13"/>
      <c r="T120" s="13"/>
      <c r="V120" s="13"/>
    </row>
    <row r="121" spans="13:22" ht="12.5">
      <c r="M121" s="13"/>
      <c r="R121" s="13"/>
      <c r="S121" s="13"/>
      <c r="T121" s="13"/>
      <c r="V121" s="13"/>
    </row>
    <row r="122" spans="13:22" ht="12.5">
      <c r="M122" s="13"/>
      <c r="R122" s="13"/>
      <c r="S122" s="13"/>
      <c r="T122" s="13"/>
      <c r="V122" s="13"/>
    </row>
    <row r="123" spans="13:22" ht="12.5">
      <c r="M123" s="13"/>
      <c r="R123" s="13"/>
      <c r="S123" s="13"/>
      <c r="T123" s="13"/>
      <c r="V123" s="13"/>
    </row>
    <row r="124" spans="13:22" ht="12.5">
      <c r="M124" s="13"/>
      <c r="R124" s="13"/>
      <c r="S124" s="13"/>
      <c r="T124" s="13"/>
      <c r="V124" s="13"/>
    </row>
    <row r="125" spans="13:22" ht="12.5">
      <c r="M125" s="13"/>
      <c r="R125" s="13"/>
      <c r="S125" s="13"/>
      <c r="T125" s="13"/>
      <c r="V125" s="13"/>
    </row>
    <row r="126" spans="13:22" ht="12.5">
      <c r="M126" s="13"/>
      <c r="R126" s="13"/>
      <c r="S126" s="13"/>
      <c r="T126" s="13"/>
      <c r="V126" s="13"/>
    </row>
    <row r="127" spans="13:22" ht="12.5">
      <c r="M127" s="13"/>
      <c r="R127" s="13"/>
      <c r="S127" s="13"/>
      <c r="T127" s="13"/>
      <c r="V127" s="13"/>
    </row>
    <row r="128" spans="13:22" ht="12.5">
      <c r="M128" s="13"/>
      <c r="R128" s="13"/>
      <c r="S128" s="13"/>
      <c r="T128" s="13"/>
      <c r="V128" s="13"/>
    </row>
    <row r="129" spans="13:22" ht="12.5">
      <c r="M129" s="13"/>
      <c r="R129" s="13"/>
      <c r="S129" s="13"/>
      <c r="T129" s="13"/>
      <c r="V129" s="13"/>
    </row>
    <row r="130" spans="13:22" ht="12.5">
      <c r="M130" s="13"/>
      <c r="R130" s="13"/>
      <c r="S130" s="13"/>
      <c r="T130" s="13"/>
      <c r="V130" s="13"/>
    </row>
    <row r="131" spans="13:22" ht="12.5">
      <c r="M131" s="13"/>
      <c r="R131" s="13"/>
      <c r="S131" s="13"/>
      <c r="T131" s="13"/>
      <c r="V131" s="13"/>
    </row>
    <row r="132" spans="13:22" ht="12.5">
      <c r="M132" s="13"/>
      <c r="R132" s="13"/>
      <c r="S132" s="13"/>
      <c r="T132" s="13"/>
      <c r="V132" s="13"/>
    </row>
    <row r="133" spans="13:22" ht="12.5">
      <c r="M133" s="13"/>
      <c r="R133" s="13"/>
      <c r="S133" s="13"/>
      <c r="T133" s="13"/>
      <c r="V133" s="13"/>
    </row>
    <row r="134" spans="13:22" ht="12.5">
      <c r="M134" s="13"/>
      <c r="R134" s="13"/>
      <c r="S134" s="13"/>
      <c r="T134" s="13"/>
      <c r="V134" s="13"/>
    </row>
    <row r="135" spans="13:22" ht="12.5">
      <c r="M135" s="13"/>
      <c r="R135" s="13"/>
      <c r="S135" s="13"/>
      <c r="T135" s="13"/>
      <c r="V135" s="13"/>
    </row>
    <row r="136" spans="13:22" ht="12.5">
      <c r="M136" s="13"/>
      <c r="R136" s="13"/>
      <c r="S136" s="13"/>
      <c r="T136" s="13"/>
      <c r="V136" s="13"/>
    </row>
    <row r="137" spans="13:22" ht="12.5">
      <c r="M137" s="13"/>
      <c r="R137" s="13"/>
      <c r="S137" s="13"/>
      <c r="T137" s="13"/>
      <c r="V137" s="13"/>
    </row>
    <row r="138" spans="13:22" ht="12.5">
      <c r="M138" s="13"/>
      <c r="R138" s="13"/>
      <c r="S138" s="13"/>
      <c r="T138" s="13"/>
      <c r="V138" s="13"/>
    </row>
    <row r="139" spans="13:22" ht="12.5">
      <c r="M139" s="13"/>
      <c r="R139" s="13"/>
      <c r="S139" s="13"/>
      <c r="T139" s="13"/>
      <c r="V139" s="13"/>
    </row>
    <row r="140" spans="13:22" ht="12.5">
      <c r="M140" s="13"/>
      <c r="R140" s="13"/>
      <c r="S140" s="13"/>
      <c r="T140" s="13"/>
      <c r="V140" s="13"/>
    </row>
    <row r="141" spans="13:22" ht="12.5">
      <c r="M141" s="13"/>
      <c r="R141" s="13"/>
      <c r="S141" s="13"/>
      <c r="T141" s="13"/>
      <c r="V141" s="13"/>
    </row>
    <row r="142" spans="13:22" ht="12.5">
      <c r="M142" s="13"/>
      <c r="R142" s="13"/>
      <c r="S142" s="13"/>
      <c r="T142" s="13"/>
      <c r="V142" s="13"/>
    </row>
    <row r="143" spans="13:22" ht="12.5">
      <c r="M143" s="13"/>
      <c r="R143" s="13"/>
      <c r="S143" s="13"/>
      <c r="T143" s="13"/>
      <c r="V143" s="13"/>
    </row>
    <row r="144" spans="13:22" ht="12.5">
      <c r="M144" s="13"/>
      <c r="R144" s="13"/>
      <c r="S144" s="13"/>
      <c r="T144" s="13"/>
      <c r="V144" s="13"/>
    </row>
    <row r="145" spans="13:22" ht="12.5">
      <c r="M145" s="13"/>
      <c r="R145" s="13"/>
      <c r="S145" s="13"/>
      <c r="T145" s="13"/>
      <c r="V145" s="13"/>
    </row>
    <row r="146" spans="13:22" ht="12.5">
      <c r="M146" s="13"/>
      <c r="R146" s="13"/>
      <c r="S146" s="13"/>
      <c r="T146" s="13"/>
      <c r="V146" s="13"/>
    </row>
    <row r="147" spans="13:22" ht="12.5">
      <c r="M147" s="13"/>
      <c r="R147" s="13"/>
      <c r="S147" s="13"/>
      <c r="T147" s="13"/>
      <c r="V147" s="13"/>
    </row>
    <row r="148" spans="13:22" ht="12.5">
      <c r="M148" s="13"/>
      <c r="R148" s="13"/>
      <c r="S148" s="13"/>
      <c r="T148" s="13"/>
      <c r="V148" s="13"/>
    </row>
    <row r="149" spans="13:22" ht="12.5">
      <c r="M149" s="13"/>
      <c r="R149" s="13"/>
      <c r="S149" s="13"/>
      <c r="T149" s="13"/>
      <c r="V149" s="13"/>
    </row>
    <row r="150" spans="13:22" ht="12.5">
      <c r="M150" s="13"/>
      <c r="R150" s="13"/>
      <c r="S150" s="13"/>
      <c r="T150" s="13"/>
      <c r="V150" s="13"/>
    </row>
    <row r="151" spans="13:22" ht="12.5">
      <c r="M151" s="13"/>
      <c r="R151" s="13"/>
      <c r="S151" s="13"/>
      <c r="T151" s="13"/>
      <c r="V151" s="13"/>
    </row>
    <row r="152" spans="13:22" ht="12.5">
      <c r="M152" s="13"/>
      <c r="R152" s="13"/>
      <c r="S152" s="13"/>
      <c r="T152" s="13"/>
      <c r="V152" s="13"/>
    </row>
    <row r="153" spans="13:22" ht="12.5">
      <c r="M153" s="13"/>
      <c r="R153" s="13"/>
      <c r="S153" s="13"/>
      <c r="T153" s="13"/>
      <c r="V153" s="13"/>
    </row>
    <row r="154" spans="13:22" ht="12.5">
      <c r="M154" s="13"/>
      <c r="R154" s="13"/>
      <c r="S154" s="13"/>
      <c r="T154" s="13"/>
      <c r="V154" s="13"/>
    </row>
    <row r="155" spans="13:22" ht="12.5">
      <c r="M155" s="13"/>
      <c r="R155" s="13"/>
      <c r="S155" s="13"/>
      <c r="T155" s="13"/>
      <c r="V155" s="13"/>
    </row>
    <row r="156" spans="13:22" ht="12.5">
      <c r="M156" s="13"/>
      <c r="R156" s="13"/>
      <c r="S156" s="13"/>
      <c r="T156" s="13"/>
      <c r="V156" s="13"/>
    </row>
    <row r="157" spans="13:22" ht="12.5">
      <c r="M157" s="13"/>
      <c r="R157" s="13"/>
      <c r="S157" s="13"/>
      <c r="T157" s="13"/>
      <c r="V157" s="13"/>
    </row>
    <row r="158" spans="13:22" ht="12.5">
      <c r="M158" s="13"/>
      <c r="R158" s="13"/>
      <c r="S158" s="13"/>
      <c r="T158" s="13"/>
      <c r="V158" s="13"/>
    </row>
    <row r="159" spans="13:22" ht="12.5">
      <c r="M159" s="13"/>
      <c r="R159" s="13"/>
      <c r="S159" s="13"/>
      <c r="T159" s="13"/>
      <c r="V159" s="13"/>
    </row>
    <row r="160" spans="13:22" ht="12.5">
      <c r="M160" s="13"/>
      <c r="R160" s="13"/>
      <c r="S160" s="13"/>
      <c r="T160" s="13"/>
      <c r="V160" s="13"/>
    </row>
    <row r="161" spans="13:22" ht="12.5">
      <c r="M161" s="13"/>
      <c r="R161" s="13"/>
      <c r="S161" s="13"/>
      <c r="T161" s="13"/>
      <c r="V161" s="13"/>
    </row>
    <row r="162" spans="13:22" ht="12.5">
      <c r="M162" s="13"/>
      <c r="R162" s="13"/>
      <c r="S162" s="13"/>
      <c r="T162" s="13"/>
      <c r="V162" s="13"/>
    </row>
    <row r="163" spans="13:22" ht="12.5">
      <c r="M163" s="13"/>
      <c r="R163" s="13"/>
      <c r="S163" s="13"/>
      <c r="T163" s="13"/>
      <c r="V163" s="13"/>
    </row>
    <row r="164" spans="13:22" ht="12.5">
      <c r="M164" s="13"/>
      <c r="R164" s="13"/>
      <c r="S164" s="13"/>
      <c r="T164" s="13"/>
      <c r="V164" s="13"/>
    </row>
    <row r="165" spans="13:22" ht="12.5">
      <c r="M165" s="13"/>
      <c r="R165" s="13"/>
      <c r="S165" s="13"/>
      <c r="T165" s="13"/>
      <c r="V165" s="13"/>
    </row>
    <row r="166" spans="13:22" ht="12.5">
      <c r="M166" s="13"/>
      <c r="R166" s="13"/>
      <c r="S166" s="13"/>
      <c r="T166" s="13"/>
      <c r="V166" s="13"/>
    </row>
    <row r="167" spans="13:22" ht="12.5">
      <c r="M167" s="13"/>
      <c r="R167" s="13"/>
      <c r="S167" s="13"/>
      <c r="T167" s="13"/>
      <c r="V167" s="13"/>
    </row>
    <row r="168" spans="13:22" ht="12.5">
      <c r="M168" s="13"/>
      <c r="R168" s="13"/>
      <c r="S168" s="13"/>
      <c r="T168" s="13"/>
      <c r="V168" s="13"/>
    </row>
    <row r="169" spans="13:22" ht="12.5">
      <c r="M169" s="13"/>
      <c r="R169" s="13"/>
      <c r="S169" s="13"/>
      <c r="T169" s="13"/>
      <c r="V169" s="13"/>
    </row>
    <row r="170" spans="13:22" ht="12.5">
      <c r="M170" s="13"/>
      <c r="R170" s="13"/>
      <c r="S170" s="13"/>
      <c r="T170" s="13"/>
      <c r="V170" s="13"/>
    </row>
    <row r="171" spans="13:22" ht="12.5">
      <c r="M171" s="13"/>
      <c r="R171" s="13"/>
      <c r="S171" s="13"/>
      <c r="T171" s="13"/>
      <c r="V171" s="13"/>
    </row>
    <row r="172" spans="13:22" ht="12.5">
      <c r="M172" s="13"/>
      <c r="R172" s="13"/>
      <c r="S172" s="13"/>
      <c r="T172" s="13"/>
      <c r="V172" s="13"/>
    </row>
    <row r="173" spans="13:22" ht="12.5">
      <c r="M173" s="13"/>
      <c r="R173" s="13"/>
      <c r="S173" s="13"/>
      <c r="T173" s="13"/>
      <c r="V173" s="13"/>
    </row>
    <row r="174" spans="13:22" ht="12.5">
      <c r="M174" s="13"/>
      <c r="R174" s="13"/>
      <c r="S174" s="13"/>
      <c r="T174" s="13"/>
      <c r="V174" s="13"/>
    </row>
    <row r="175" spans="13:22" ht="12.5">
      <c r="M175" s="13"/>
      <c r="R175" s="13"/>
      <c r="S175" s="13"/>
      <c r="T175" s="13"/>
      <c r="V175" s="13"/>
    </row>
    <row r="176" spans="13:22" ht="12.5">
      <c r="M176" s="13"/>
      <c r="R176" s="13"/>
      <c r="S176" s="13"/>
      <c r="T176" s="13"/>
      <c r="V176" s="13"/>
    </row>
    <row r="177" spans="13:22" ht="12.5">
      <c r="M177" s="13"/>
      <c r="R177" s="13"/>
      <c r="S177" s="13"/>
      <c r="T177" s="13"/>
      <c r="V177" s="13"/>
    </row>
    <row r="178" spans="13:22" ht="12.5">
      <c r="M178" s="13"/>
      <c r="R178" s="13"/>
      <c r="S178" s="13"/>
      <c r="T178" s="13"/>
      <c r="V178" s="13"/>
    </row>
    <row r="179" spans="13:22" ht="12.5">
      <c r="M179" s="13"/>
      <c r="R179" s="13"/>
      <c r="S179" s="13"/>
      <c r="T179" s="13"/>
      <c r="V179" s="13"/>
    </row>
    <row r="180" spans="13:22" ht="12.5">
      <c r="M180" s="13"/>
      <c r="R180" s="13"/>
      <c r="S180" s="13"/>
      <c r="T180" s="13"/>
      <c r="V180" s="13"/>
    </row>
    <row r="181" spans="13:22" ht="12.5">
      <c r="M181" s="13"/>
      <c r="R181" s="13"/>
      <c r="S181" s="13"/>
      <c r="T181" s="13"/>
      <c r="V181" s="13"/>
    </row>
    <row r="182" spans="13:22" ht="12.5">
      <c r="M182" s="13"/>
      <c r="R182" s="13"/>
      <c r="S182" s="13"/>
      <c r="T182" s="13"/>
      <c r="V182" s="13"/>
    </row>
    <row r="183" spans="13:22" ht="12.5">
      <c r="M183" s="13"/>
      <c r="R183" s="13"/>
      <c r="S183" s="13"/>
      <c r="T183" s="13"/>
      <c r="V183" s="13"/>
    </row>
    <row r="184" spans="13:22" ht="12.5">
      <c r="M184" s="13"/>
      <c r="R184" s="13"/>
      <c r="S184" s="13"/>
      <c r="T184" s="13"/>
      <c r="V184" s="13"/>
    </row>
    <row r="185" spans="13:22" ht="12.5">
      <c r="M185" s="13"/>
      <c r="R185" s="13"/>
      <c r="S185" s="13"/>
      <c r="T185" s="13"/>
      <c r="V185" s="13"/>
    </row>
    <row r="186" spans="13:22" ht="12.5">
      <c r="M186" s="13"/>
      <c r="R186" s="13"/>
      <c r="S186" s="13"/>
      <c r="T186" s="13"/>
      <c r="V186" s="13"/>
    </row>
    <row r="187" spans="13:22" ht="12.5">
      <c r="M187" s="13"/>
      <c r="R187" s="13"/>
      <c r="S187" s="13"/>
      <c r="T187" s="13"/>
      <c r="V187" s="13"/>
    </row>
    <row r="188" spans="13:22" ht="12.5">
      <c r="M188" s="13"/>
      <c r="R188" s="13"/>
      <c r="S188" s="13"/>
      <c r="T188" s="13"/>
      <c r="V188" s="13"/>
    </row>
    <row r="189" spans="13:22" ht="12.5">
      <c r="M189" s="13"/>
      <c r="R189" s="13"/>
      <c r="S189" s="13"/>
      <c r="T189" s="13"/>
      <c r="V189" s="13"/>
    </row>
    <row r="190" spans="13:22" ht="12.5">
      <c r="M190" s="13"/>
      <c r="R190" s="13"/>
      <c r="S190" s="13"/>
      <c r="T190" s="13"/>
      <c r="V190" s="13"/>
    </row>
    <row r="191" spans="13:22" ht="12.5">
      <c r="M191" s="13"/>
      <c r="R191" s="13"/>
      <c r="S191" s="13"/>
      <c r="T191" s="13"/>
      <c r="V191" s="13"/>
    </row>
    <row r="192" spans="13:22" ht="12.5">
      <c r="M192" s="13"/>
      <c r="R192" s="13"/>
      <c r="S192" s="13"/>
      <c r="T192" s="13"/>
      <c r="V192" s="13"/>
    </row>
    <row r="193" spans="13:22" ht="12.5">
      <c r="M193" s="13"/>
      <c r="R193" s="13"/>
      <c r="S193" s="13"/>
      <c r="T193" s="13"/>
      <c r="V193" s="13"/>
    </row>
    <row r="194" spans="13:22" ht="12.5">
      <c r="M194" s="13"/>
      <c r="R194" s="13"/>
      <c r="S194" s="13"/>
      <c r="T194" s="13"/>
      <c r="V194" s="13"/>
    </row>
    <row r="195" spans="13:22" ht="12.5">
      <c r="M195" s="13"/>
      <c r="R195" s="13"/>
      <c r="S195" s="13"/>
      <c r="T195" s="13"/>
      <c r="V195" s="13"/>
    </row>
    <row r="196" spans="13:22" ht="12.5">
      <c r="M196" s="13"/>
      <c r="R196" s="13"/>
      <c r="S196" s="13"/>
      <c r="T196" s="13"/>
      <c r="V196" s="13"/>
    </row>
    <row r="197" spans="13:22" ht="12.5">
      <c r="M197" s="13"/>
      <c r="R197" s="13"/>
      <c r="S197" s="13"/>
      <c r="T197" s="13"/>
      <c r="V197" s="13"/>
    </row>
    <row r="198" spans="13:22" ht="12.5">
      <c r="M198" s="13"/>
      <c r="R198" s="13"/>
      <c r="S198" s="13"/>
      <c r="T198" s="13"/>
      <c r="V198" s="13"/>
    </row>
    <row r="199" spans="13:22" ht="12.5">
      <c r="M199" s="13"/>
      <c r="R199" s="13"/>
      <c r="S199" s="13"/>
      <c r="T199" s="13"/>
      <c r="V199" s="13"/>
    </row>
    <row r="200" spans="13:22" ht="12.5">
      <c r="M200" s="13"/>
      <c r="R200" s="13"/>
      <c r="S200" s="13"/>
      <c r="T200" s="13"/>
      <c r="V200" s="13"/>
    </row>
    <row r="201" spans="13:22" ht="12.5">
      <c r="M201" s="13"/>
      <c r="R201" s="13"/>
      <c r="S201" s="13"/>
      <c r="T201" s="13"/>
      <c r="V201" s="13"/>
    </row>
    <row r="202" spans="13:22" ht="12.5">
      <c r="M202" s="13"/>
      <c r="R202" s="13"/>
      <c r="S202" s="13"/>
      <c r="T202" s="13"/>
      <c r="V202" s="13"/>
    </row>
    <row r="203" spans="13:22" ht="12.5">
      <c r="M203" s="13"/>
      <c r="R203" s="13"/>
      <c r="S203" s="13"/>
      <c r="T203" s="13"/>
      <c r="V203" s="13"/>
    </row>
    <row r="204" spans="13:22" ht="12.5">
      <c r="M204" s="13"/>
      <c r="R204" s="13"/>
      <c r="S204" s="13"/>
      <c r="T204" s="13"/>
      <c r="V204" s="13"/>
    </row>
    <row r="205" spans="13:22" ht="12.5">
      <c r="M205" s="13"/>
      <c r="R205" s="13"/>
      <c r="S205" s="13"/>
      <c r="T205" s="13"/>
      <c r="V205" s="13"/>
    </row>
    <row r="206" spans="13:22" ht="12.5">
      <c r="M206" s="13"/>
      <c r="R206" s="13"/>
      <c r="S206" s="13"/>
      <c r="T206" s="13"/>
      <c r="V206" s="13"/>
    </row>
    <row r="207" spans="13:22" ht="12.5">
      <c r="M207" s="13"/>
      <c r="R207" s="13"/>
      <c r="S207" s="13"/>
      <c r="T207" s="13"/>
      <c r="V207" s="13"/>
    </row>
    <row r="208" spans="13:22" ht="12.5">
      <c r="M208" s="13"/>
      <c r="R208" s="13"/>
      <c r="S208" s="13"/>
      <c r="T208" s="13"/>
      <c r="V208" s="13"/>
    </row>
    <row r="209" spans="13:22" ht="12.5">
      <c r="M209" s="13"/>
      <c r="R209" s="13"/>
      <c r="S209" s="13"/>
      <c r="T209" s="13"/>
      <c r="V209" s="13"/>
    </row>
    <row r="210" spans="13:22" ht="12.5">
      <c r="M210" s="13"/>
      <c r="R210" s="13"/>
      <c r="S210" s="13"/>
      <c r="T210" s="13"/>
      <c r="V210" s="13"/>
    </row>
    <row r="211" spans="13:22" ht="12.5">
      <c r="M211" s="13"/>
      <c r="R211" s="13"/>
      <c r="S211" s="13"/>
      <c r="T211" s="13"/>
      <c r="V211" s="13"/>
    </row>
    <row r="212" spans="13:22" ht="12.5">
      <c r="M212" s="13"/>
      <c r="R212" s="13"/>
      <c r="S212" s="13"/>
      <c r="T212" s="13"/>
      <c r="V212" s="13"/>
    </row>
    <row r="213" spans="13:22" ht="12.5">
      <c r="M213" s="13"/>
      <c r="R213" s="13"/>
      <c r="S213" s="13"/>
      <c r="T213" s="13"/>
      <c r="V213" s="13"/>
    </row>
    <row r="214" spans="13:22" ht="12.5">
      <c r="M214" s="13"/>
      <c r="R214" s="13"/>
      <c r="S214" s="13"/>
      <c r="T214" s="13"/>
      <c r="V214" s="13"/>
    </row>
    <row r="215" spans="13:22" ht="12.5">
      <c r="M215" s="13"/>
      <c r="R215" s="13"/>
      <c r="S215" s="13"/>
      <c r="T215" s="13"/>
      <c r="V215" s="13"/>
    </row>
    <row r="216" spans="13:22" ht="12.5">
      <c r="M216" s="13"/>
      <c r="R216" s="13"/>
      <c r="S216" s="13"/>
      <c r="T216" s="13"/>
      <c r="V216" s="13"/>
    </row>
    <row r="217" spans="13:22" ht="12.5">
      <c r="M217" s="13"/>
      <c r="R217" s="13"/>
      <c r="S217" s="13"/>
      <c r="T217" s="13"/>
      <c r="V217" s="13"/>
    </row>
    <row r="218" spans="13:22" ht="12.5">
      <c r="M218" s="13"/>
      <c r="R218" s="13"/>
      <c r="S218" s="13"/>
      <c r="T218" s="13"/>
      <c r="V218" s="13"/>
    </row>
    <row r="219" spans="13:22" ht="12.5">
      <c r="M219" s="13"/>
      <c r="R219" s="13"/>
      <c r="S219" s="13"/>
      <c r="T219" s="13"/>
      <c r="V219" s="13"/>
    </row>
    <row r="220" spans="13:22" ht="12.5">
      <c r="M220" s="13"/>
      <c r="R220" s="13"/>
      <c r="S220" s="13"/>
      <c r="T220" s="13"/>
      <c r="V220" s="13"/>
    </row>
    <row r="221" spans="13:22" ht="12.5">
      <c r="M221" s="13"/>
      <c r="R221" s="13"/>
      <c r="S221" s="13"/>
      <c r="T221" s="13"/>
      <c r="V221" s="13"/>
    </row>
    <row r="222" spans="13:22" ht="12.5">
      <c r="M222" s="13"/>
      <c r="R222" s="13"/>
      <c r="S222" s="13"/>
      <c r="T222" s="13"/>
      <c r="V222" s="13"/>
    </row>
    <row r="223" spans="13:22" ht="12.5">
      <c r="M223" s="13"/>
      <c r="R223" s="13"/>
      <c r="S223" s="13"/>
      <c r="T223" s="13"/>
      <c r="V223" s="13"/>
    </row>
    <row r="224" spans="13:22" ht="12.5">
      <c r="M224" s="13"/>
      <c r="R224" s="13"/>
      <c r="S224" s="13"/>
      <c r="T224" s="13"/>
      <c r="V224" s="13"/>
    </row>
    <row r="225" spans="13:22" ht="12.5">
      <c r="M225" s="13"/>
      <c r="R225" s="13"/>
      <c r="S225" s="13"/>
      <c r="T225" s="13"/>
      <c r="V225" s="13"/>
    </row>
    <row r="226" spans="13:22" ht="12.5">
      <c r="M226" s="13"/>
      <c r="R226" s="13"/>
      <c r="S226" s="13"/>
      <c r="T226" s="13"/>
      <c r="V226" s="13"/>
    </row>
    <row r="227" spans="13:22" ht="12.5">
      <c r="M227" s="13"/>
      <c r="R227" s="13"/>
      <c r="S227" s="13"/>
      <c r="T227" s="13"/>
      <c r="V227" s="13"/>
    </row>
    <row r="228" spans="13:22" ht="12.5">
      <c r="M228" s="13"/>
      <c r="R228" s="13"/>
      <c r="S228" s="13"/>
      <c r="T228" s="13"/>
      <c r="V228" s="13"/>
    </row>
    <row r="229" spans="13:22" ht="12.5">
      <c r="M229" s="13"/>
      <c r="R229" s="13"/>
      <c r="S229" s="13"/>
      <c r="T229" s="13"/>
      <c r="V229" s="13"/>
    </row>
    <row r="230" spans="13:22" ht="12.5">
      <c r="M230" s="13"/>
      <c r="R230" s="13"/>
      <c r="S230" s="13"/>
      <c r="T230" s="13"/>
      <c r="V230" s="13"/>
    </row>
    <row r="231" spans="13:22" ht="12.5">
      <c r="M231" s="13"/>
      <c r="R231" s="13"/>
      <c r="S231" s="13"/>
      <c r="T231" s="13"/>
      <c r="V231" s="13"/>
    </row>
    <row r="232" spans="13:22" ht="12.5">
      <c r="M232" s="13"/>
      <c r="R232" s="13"/>
      <c r="S232" s="13"/>
      <c r="T232" s="13"/>
      <c r="V232" s="13"/>
    </row>
    <row r="233" spans="13:22" ht="12.5">
      <c r="M233" s="13"/>
      <c r="R233" s="13"/>
      <c r="S233" s="13"/>
      <c r="T233" s="13"/>
      <c r="V233" s="13"/>
    </row>
    <row r="234" spans="13:22" ht="12.5">
      <c r="M234" s="13"/>
      <c r="R234" s="13"/>
      <c r="S234" s="13"/>
      <c r="T234" s="13"/>
      <c r="V234" s="13"/>
    </row>
    <row r="235" spans="13:22" ht="12.5">
      <c r="M235" s="13"/>
      <c r="R235" s="13"/>
      <c r="S235" s="13"/>
      <c r="T235" s="13"/>
      <c r="V235" s="13"/>
    </row>
    <row r="236" spans="13:22" ht="12.5">
      <c r="M236" s="13"/>
      <c r="R236" s="13"/>
      <c r="S236" s="13"/>
      <c r="T236" s="13"/>
      <c r="V236" s="13"/>
    </row>
    <row r="237" spans="13:22" ht="12.5">
      <c r="M237" s="13"/>
      <c r="R237" s="13"/>
      <c r="S237" s="13"/>
      <c r="T237" s="13"/>
      <c r="V237" s="13"/>
    </row>
    <row r="238" spans="13:22" ht="12.5">
      <c r="M238" s="13"/>
      <c r="R238" s="13"/>
      <c r="S238" s="13"/>
      <c r="T238" s="13"/>
      <c r="V238" s="13"/>
    </row>
    <row r="239" spans="13:22" ht="12.5">
      <c r="M239" s="13"/>
      <c r="R239" s="13"/>
      <c r="S239" s="13"/>
      <c r="T239" s="13"/>
      <c r="V239" s="13"/>
    </row>
    <row r="240" spans="13:22" ht="12.5">
      <c r="M240" s="13"/>
      <c r="R240" s="13"/>
      <c r="S240" s="13"/>
      <c r="T240" s="13"/>
      <c r="V240" s="13"/>
    </row>
    <row r="241" spans="13:22" ht="12.5">
      <c r="M241" s="13"/>
      <c r="R241" s="13"/>
      <c r="S241" s="13"/>
      <c r="T241" s="13"/>
      <c r="V241" s="13"/>
    </row>
    <row r="242" spans="13:22" ht="12.5">
      <c r="M242" s="13"/>
      <c r="R242" s="13"/>
      <c r="S242" s="13"/>
      <c r="T242" s="13"/>
      <c r="V242" s="13"/>
    </row>
    <row r="243" spans="13:22" ht="12.5">
      <c r="M243" s="13"/>
      <c r="R243" s="13"/>
      <c r="S243" s="13"/>
      <c r="T243" s="13"/>
      <c r="V243" s="13"/>
    </row>
    <row r="244" spans="13:22" ht="12.5">
      <c r="M244" s="13"/>
      <c r="R244" s="13"/>
      <c r="S244" s="13"/>
      <c r="T244" s="13"/>
      <c r="V244" s="13"/>
    </row>
    <row r="245" spans="13:22" ht="12.5">
      <c r="M245" s="13"/>
      <c r="R245" s="13"/>
      <c r="S245" s="13"/>
      <c r="T245" s="13"/>
      <c r="V245" s="13"/>
    </row>
    <row r="246" spans="13:22" ht="12.5">
      <c r="M246" s="13"/>
      <c r="R246" s="13"/>
      <c r="S246" s="13"/>
      <c r="T246" s="13"/>
      <c r="V246" s="13"/>
    </row>
    <row r="247" spans="13:22" ht="12.5">
      <c r="M247" s="13"/>
      <c r="R247" s="13"/>
      <c r="S247" s="13"/>
      <c r="T247" s="13"/>
      <c r="V247" s="13"/>
    </row>
    <row r="248" spans="13:22" ht="12.5">
      <c r="M248" s="13"/>
      <c r="R248" s="13"/>
      <c r="S248" s="13"/>
      <c r="T248" s="13"/>
      <c r="V248" s="13"/>
    </row>
    <row r="249" spans="13:22" ht="12.5">
      <c r="M249" s="13"/>
      <c r="R249" s="13"/>
      <c r="S249" s="13"/>
      <c r="T249" s="13"/>
      <c r="V249" s="13"/>
    </row>
    <row r="250" spans="13:22" ht="12.5">
      <c r="M250" s="13"/>
      <c r="R250" s="13"/>
      <c r="S250" s="13"/>
      <c r="T250" s="13"/>
      <c r="V250" s="13"/>
    </row>
    <row r="251" spans="13:22" ht="12.5">
      <c r="M251" s="13"/>
      <c r="R251" s="13"/>
      <c r="S251" s="13"/>
      <c r="T251" s="13"/>
      <c r="V251" s="13"/>
    </row>
    <row r="252" spans="13:22" ht="12.5">
      <c r="M252" s="13"/>
      <c r="R252" s="13"/>
      <c r="S252" s="13"/>
      <c r="T252" s="13"/>
      <c r="V252" s="13"/>
    </row>
    <row r="253" spans="13:22" ht="12.5">
      <c r="M253" s="13"/>
      <c r="R253" s="13"/>
      <c r="S253" s="13"/>
      <c r="T253" s="13"/>
      <c r="V253" s="13"/>
    </row>
    <row r="254" spans="13:22" ht="12.5">
      <c r="M254" s="13"/>
      <c r="R254" s="13"/>
      <c r="S254" s="13"/>
      <c r="T254" s="13"/>
      <c r="V254" s="13"/>
    </row>
    <row r="255" spans="13:22" ht="12.5">
      <c r="M255" s="13"/>
      <c r="R255" s="13"/>
      <c r="S255" s="13"/>
      <c r="T255" s="13"/>
      <c r="V255" s="13"/>
    </row>
    <row r="256" spans="13:22" ht="12.5">
      <c r="M256" s="13"/>
      <c r="R256" s="13"/>
      <c r="S256" s="13"/>
      <c r="T256" s="13"/>
      <c r="V256" s="13"/>
    </row>
    <row r="257" spans="13:22" ht="12.5">
      <c r="M257" s="13"/>
      <c r="R257" s="13"/>
      <c r="S257" s="13"/>
      <c r="T257" s="13"/>
      <c r="V257" s="13"/>
    </row>
    <row r="258" spans="13:22" ht="12.5">
      <c r="M258" s="13"/>
      <c r="R258" s="13"/>
      <c r="S258" s="13"/>
      <c r="T258" s="13"/>
      <c r="V258" s="13"/>
    </row>
    <row r="259" spans="13:22" ht="12.5">
      <c r="M259" s="13"/>
      <c r="R259" s="13"/>
      <c r="S259" s="13"/>
      <c r="T259" s="13"/>
      <c r="V259" s="13"/>
    </row>
    <row r="260" spans="13:22" ht="12.5">
      <c r="M260" s="13"/>
      <c r="R260" s="13"/>
      <c r="S260" s="13"/>
      <c r="T260" s="13"/>
      <c r="V260" s="13"/>
    </row>
    <row r="261" spans="13:22" ht="12.5">
      <c r="M261" s="13"/>
      <c r="R261" s="13"/>
      <c r="S261" s="13"/>
      <c r="T261" s="13"/>
      <c r="V261" s="13"/>
    </row>
    <row r="262" spans="13:22" ht="12.5">
      <c r="M262" s="13"/>
      <c r="R262" s="13"/>
      <c r="S262" s="13"/>
      <c r="T262" s="13"/>
      <c r="V262" s="13"/>
    </row>
    <row r="263" spans="13:22" ht="12.5">
      <c r="M263" s="13"/>
      <c r="R263" s="13"/>
      <c r="S263" s="13"/>
      <c r="T263" s="13"/>
      <c r="V263" s="13"/>
    </row>
    <row r="264" spans="13:22" ht="12.5">
      <c r="M264" s="13"/>
      <c r="R264" s="13"/>
      <c r="S264" s="13"/>
      <c r="T264" s="13"/>
      <c r="V264" s="13"/>
    </row>
    <row r="265" spans="13:22" ht="12.5">
      <c r="M265" s="13"/>
      <c r="R265" s="13"/>
      <c r="S265" s="13"/>
      <c r="T265" s="13"/>
      <c r="V265" s="13"/>
    </row>
    <row r="266" spans="13:22" ht="12.5">
      <c r="M266" s="13"/>
      <c r="R266" s="13"/>
      <c r="S266" s="13"/>
      <c r="T266" s="13"/>
      <c r="V266" s="13"/>
    </row>
    <row r="267" spans="13:22" ht="12.5">
      <c r="M267" s="13"/>
      <c r="R267" s="13"/>
      <c r="S267" s="13"/>
      <c r="T267" s="13"/>
      <c r="V267" s="13"/>
    </row>
    <row r="268" spans="13:22" ht="12.5">
      <c r="M268" s="13"/>
      <c r="R268" s="13"/>
      <c r="S268" s="13"/>
      <c r="T268" s="13"/>
      <c r="V268" s="13"/>
    </row>
    <row r="269" spans="13:22" ht="12.5">
      <c r="M269" s="13"/>
      <c r="R269" s="13"/>
      <c r="S269" s="13"/>
      <c r="T269" s="13"/>
      <c r="V269" s="13"/>
    </row>
    <row r="270" spans="13:22" ht="12.5">
      <c r="M270" s="13"/>
      <c r="R270" s="13"/>
      <c r="S270" s="13"/>
      <c r="T270" s="13"/>
      <c r="V270" s="13"/>
    </row>
    <row r="271" spans="13:22" ht="12.5">
      <c r="M271" s="13"/>
      <c r="R271" s="13"/>
      <c r="S271" s="13"/>
      <c r="T271" s="13"/>
      <c r="V271" s="13"/>
    </row>
    <row r="272" spans="13:22" ht="12.5">
      <c r="M272" s="13"/>
      <c r="R272" s="13"/>
      <c r="S272" s="13"/>
      <c r="T272" s="13"/>
      <c r="V272" s="13"/>
    </row>
    <row r="273" spans="13:22" ht="12.5">
      <c r="M273" s="13"/>
      <c r="R273" s="13"/>
      <c r="S273" s="13"/>
      <c r="T273" s="13"/>
      <c r="V273" s="13"/>
    </row>
    <row r="274" spans="13:22" ht="12.5">
      <c r="M274" s="13"/>
      <c r="R274" s="13"/>
      <c r="S274" s="13"/>
      <c r="T274" s="13"/>
      <c r="V274" s="13"/>
    </row>
    <row r="275" spans="13:22" ht="12.5">
      <c r="M275" s="13"/>
      <c r="R275" s="13"/>
      <c r="S275" s="13"/>
      <c r="T275" s="13"/>
      <c r="V275" s="13"/>
    </row>
    <row r="276" spans="13:22" ht="12.5">
      <c r="M276" s="13"/>
      <c r="R276" s="13"/>
      <c r="S276" s="13"/>
      <c r="T276" s="13"/>
      <c r="V276" s="13"/>
    </row>
    <row r="277" spans="13:22" ht="12.5">
      <c r="M277" s="13"/>
      <c r="R277" s="13"/>
      <c r="S277" s="13"/>
      <c r="T277" s="13"/>
      <c r="V277" s="13"/>
    </row>
    <row r="278" spans="13:22" ht="12.5">
      <c r="M278" s="13"/>
      <c r="R278" s="13"/>
      <c r="S278" s="13"/>
      <c r="T278" s="13"/>
      <c r="V278" s="13"/>
    </row>
    <row r="279" spans="13:22" ht="12.5">
      <c r="M279" s="13"/>
      <c r="R279" s="13"/>
      <c r="S279" s="13"/>
      <c r="T279" s="13"/>
      <c r="V279" s="13"/>
    </row>
    <row r="280" spans="13:22" ht="12.5">
      <c r="M280" s="13"/>
      <c r="R280" s="13"/>
      <c r="S280" s="13"/>
      <c r="T280" s="13"/>
      <c r="V280" s="13"/>
    </row>
    <row r="281" spans="13:22" ht="12.5">
      <c r="M281" s="13"/>
      <c r="R281" s="13"/>
      <c r="S281" s="13"/>
      <c r="T281" s="13"/>
      <c r="V281" s="13"/>
    </row>
    <row r="282" spans="13:22" ht="12.5">
      <c r="M282" s="13"/>
      <c r="R282" s="13"/>
      <c r="S282" s="13"/>
      <c r="T282" s="13"/>
      <c r="V282" s="13"/>
    </row>
    <row r="283" spans="13:22" ht="12.5">
      <c r="M283" s="13"/>
      <c r="R283" s="13"/>
      <c r="S283" s="13"/>
      <c r="T283" s="13"/>
      <c r="V283" s="13"/>
    </row>
    <row r="284" spans="13:22" ht="12.5">
      <c r="M284" s="13"/>
      <c r="R284" s="13"/>
      <c r="S284" s="13"/>
      <c r="T284" s="13"/>
      <c r="V284" s="13"/>
    </row>
    <row r="285" spans="13:22" ht="12.5">
      <c r="M285" s="13"/>
      <c r="R285" s="13"/>
      <c r="S285" s="13"/>
      <c r="T285" s="13"/>
      <c r="V285" s="13"/>
    </row>
    <row r="286" spans="13:22" ht="12.5">
      <c r="M286" s="13"/>
      <c r="R286" s="13"/>
      <c r="S286" s="13"/>
      <c r="T286" s="13"/>
      <c r="V286" s="13"/>
    </row>
    <row r="287" spans="13:22" ht="12.5">
      <c r="M287" s="13"/>
      <c r="R287" s="13"/>
      <c r="S287" s="13"/>
      <c r="T287" s="13"/>
      <c r="V287" s="13"/>
    </row>
    <row r="288" spans="13:22" ht="12.5">
      <c r="M288" s="13"/>
      <c r="R288" s="13"/>
      <c r="S288" s="13"/>
      <c r="T288" s="13"/>
      <c r="V288" s="13"/>
    </row>
    <row r="289" spans="13:22" ht="12.5">
      <c r="M289" s="13"/>
      <c r="R289" s="13"/>
      <c r="S289" s="13"/>
      <c r="T289" s="13"/>
      <c r="V289" s="13"/>
    </row>
    <row r="290" spans="13:22" ht="12.5">
      <c r="M290" s="13"/>
      <c r="R290" s="13"/>
      <c r="S290" s="13"/>
      <c r="T290" s="13"/>
      <c r="V290" s="13"/>
    </row>
    <row r="291" spans="13:22" ht="12.5">
      <c r="M291" s="13"/>
      <c r="R291" s="13"/>
      <c r="S291" s="13"/>
      <c r="T291" s="13"/>
      <c r="V291" s="13"/>
    </row>
    <row r="292" spans="13:22" ht="12.5">
      <c r="M292" s="13"/>
      <c r="R292" s="13"/>
      <c r="S292" s="13"/>
      <c r="T292" s="13"/>
      <c r="V292" s="13"/>
    </row>
    <row r="293" spans="13:22" ht="12.5">
      <c r="M293" s="13"/>
      <c r="R293" s="13"/>
      <c r="S293" s="13"/>
      <c r="T293" s="13"/>
      <c r="V293" s="13"/>
    </row>
    <row r="294" spans="13:22" ht="12.5">
      <c r="M294" s="13"/>
      <c r="R294" s="13"/>
      <c r="S294" s="13"/>
      <c r="T294" s="13"/>
      <c r="V294" s="13"/>
    </row>
    <row r="295" spans="13:22" ht="12.5">
      <c r="M295" s="13"/>
      <c r="R295" s="13"/>
      <c r="S295" s="13"/>
      <c r="T295" s="13"/>
      <c r="V295" s="13"/>
    </row>
    <row r="296" spans="13:22" ht="12.5">
      <c r="M296" s="13"/>
      <c r="R296" s="13"/>
      <c r="S296" s="13"/>
      <c r="T296" s="13"/>
      <c r="V296" s="13"/>
    </row>
    <row r="297" spans="13:22" ht="12.5">
      <c r="M297" s="13"/>
      <c r="R297" s="13"/>
      <c r="S297" s="13"/>
      <c r="T297" s="13"/>
      <c r="V297" s="13"/>
    </row>
    <row r="298" spans="13:22" ht="12.5">
      <c r="M298" s="13"/>
      <c r="R298" s="13"/>
      <c r="S298" s="13"/>
      <c r="T298" s="13"/>
      <c r="V298" s="13"/>
    </row>
    <row r="299" spans="13:22" ht="12.5">
      <c r="M299" s="13"/>
      <c r="R299" s="13"/>
      <c r="S299" s="13"/>
      <c r="T299" s="13"/>
      <c r="V299" s="13"/>
    </row>
    <row r="300" spans="13:22" ht="12.5">
      <c r="M300" s="13"/>
      <c r="R300" s="13"/>
      <c r="S300" s="13"/>
      <c r="T300" s="13"/>
      <c r="V300" s="13"/>
    </row>
    <row r="301" spans="13:22" ht="12.5">
      <c r="M301" s="13"/>
      <c r="R301" s="13"/>
      <c r="S301" s="13"/>
      <c r="T301" s="13"/>
      <c r="V301" s="13"/>
    </row>
    <row r="302" spans="13:22" ht="12.5">
      <c r="M302" s="13"/>
      <c r="R302" s="13"/>
      <c r="S302" s="13"/>
      <c r="T302" s="13"/>
      <c r="V302" s="13"/>
    </row>
    <row r="303" spans="13:22" ht="12.5">
      <c r="M303" s="13"/>
      <c r="R303" s="13"/>
      <c r="S303" s="13"/>
      <c r="T303" s="13"/>
      <c r="V303" s="13"/>
    </row>
    <row r="304" spans="13:22" ht="12.5">
      <c r="M304" s="13"/>
      <c r="R304" s="13"/>
      <c r="S304" s="13"/>
      <c r="T304" s="13"/>
      <c r="V304" s="13"/>
    </row>
    <row r="305" spans="13:22" ht="12.5">
      <c r="M305" s="13"/>
      <c r="R305" s="13"/>
      <c r="S305" s="13"/>
      <c r="T305" s="13"/>
      <c r="V305" s="13"/>
    </row>
    <row r="306" spans="13:22" ht="12.5">
      <c r="M306" s="13"/>
      <c r="R306" s="13"/>
      <c r="S306" s="13"/>
      <c r="T306" s="13"/>
      <c r="V306" s="13"/>
    </row>
    <row r="307" spans="13:22" ht="12.5">
      <c r="M307" s="13"/>
      <c r="R307" s="13"/>
      <c r="S307" s="13"/>
      <c r="T307" s="13"/>
      <c r="V307" s="13"/>
    </row>
    <row r="308" spans="13:22" ht="12.5">
      <c r="M308" s="13"/>
      <c r="R308" s="13"/>
      <c r="S308" s="13"/>
      <c r="T308" s="13"/>
      <c r="V308" s="13"/>
    </row>
    <row r="309" spans="13:22" ht="12.5">
      <c r="M309" s="13"/>
      <c r="R309" s="13"/>
      <c r="S309" s="13"/>
      <c r="T309" s="13"/>
      <c r="V309" s="13"/>
    </row>
    <row r="310" spans="13:22" ht="12.5">
      <c r="M310" s="13"/>
      <c r="R310" s="13"/>
      <c r="S310" s="13"/>
      <c r="T310" s="13"/>
      <c r="V310" s="13"/>
    </row>
    <row r="311" spans="13:22" ht="12.5">
      <c r="M311" s="13"/>
      <c r="R311" s="13"/>
      <c r="S311" s="13"/>
      <c r="T311" s="13"/>
      <c r="V311" s="13"/>
    </row>
    <row r="312" spans="13:22" ht="12.5">
      <c r="M312" s="13"/>
      <c r="R312" s="13"/>
      <c r="S312" s="13"/>
      <c r="T312" s="13"/>
      <c r="V312" s="13"/>
    </row>
    <row r="313" spans="13:22" ht="12.5">
      <c r="M313" s="13"/>
      <c r="R313" s="13"/>
      <c r="S313" s="13"/>
      <c r="T313" s="13"/>
      <c r="V313" s="13"/>
    </row>
    <row r="314" spans="13:22" ht="12.5">
      <c r="M314" s="13"/>
      <c r="R314" s="13"/>
      <c r="S314" s="13"/>
      <c r="T314" s="13"/>
      <c r="V314" s="13"/>
    </row>
    <row r="315" spans="13:22" ht="12.5">
      <c r="M315" s="13"/>
      <c r="R315" s="13"/>
      <c r="S315" s="13"/>
      <c r="T315" s="13"/>
      <c r="V315" s="13"/>
    </row>
    <row r="316" spans="13:22" ht="12.5">
      <c r="M316" s="13"/>
      <c r="R316" s="13"/>
      <c r="S316" s="13"/>
      <c r="T316" s="13"/>
      <c r="V316" s="13"/>
    </row>
    <row r="317" spans="13:22" ht="12.5">
      <c r="M317" s="13"/>
      <c r="R317" s="13"/>
      <c r="S317" s="13"/>
      <c r="T317" s="13"/>
      <c r="V317" s="13"/>
    </row>
    <row r="318" spans="13:22" ht="12.5">
      <c r="M318" s="13"/>
      <c r="R318" s="13"/>
      <c r="S318" s="13"/>
      <c r="T318" s="13"/>
      <c r="V318" s="13"/>
    </row>
    <row r="319" spans="13:22" ht="12.5">
      <c r="M319" s="13"/>
      <c r="R319" s="13"/>
      <c r="S319" s="13"/>
      <c r="T319" s="13"/>
      <c r="V319" s="13"/>
    </row>
    <row r="320" spans="13:22" ht="12.5">
      <c r="M320" s="13"/>
      <c r="R320" s="13"/>
      <c r="S320" s="13"/>
      <c r="T320" s="13"/>
      <c r="V320" s="13"/>
    </row>
    <row r="321" spans="13:22" ht="12.5">
      <c r="M321" s="13"/>
      <c r="R321" s="13"/>
      <c r="S321" s="13"/>
      <c r="T321" s="13"/>
      <c r="V321" s="13"/>
    </row>
    <row r="322" spans="13:22" ht="12.5">
      <c r="M322" s="13"/>
      <c r="R322" s="13"/>
      <c r="S322" s="13"/>
      <c r="T322" s="13"/>
      <c r="V322" s="13"/>
    </row>
    <row r="323" spans="13:22" ht="12.5">
      <c r="M323" s="13"/>
      <c r="R323" s="13"/>
      <c r="S323" s="13"/>
      <c r="T323" s="13"/>
      <c r="V323" s="13"/>
    </row>
    <row r="324" spans="13:22" ht="12.5">
      <c r="M324" s="13"/>
      <c r="R324" s="13"/>
      <c r="S324" s="13"/>
      <c r="T324" s="13"/>
      <c r="V324" s="13"/>
    </row>
    <row r="325" spans="13:22" ht="12.5">
      <c r="M325" s="13"/>
      <c r="R325" s="13"/>
      <c r="S325" s="13"/>
      <c r="T325" s="13"/>
      <c r="V325" s="13"/>
    </row>
    <row r="326" spans="13:22" ht="12.5">
      <c r="M326" s="13"/>
      <c r="R326" s="13"/>
      <c r="S326" s="13"/>
      <c r="T326" s="13"/>
      <c r="V326" s="13"/>
    </row>
    <row r="327" spans="13:22" ht="12.5">
      <c r="M327" s="13"/>
      <c r="R327" s="13"/>
      <c r="S327" s="13"/>
      <c r="T327" s="13"/>
      <c r="V327" s="13"/>
    </row>
    <row r="328" spans="13:22" ht="12.5">
      <c r="M328" s="13"/>
      <c r="R328" s="13"/>
      <c r="S328" s="13"/>
      <c r="T328" s="13"/>
      <c r="V328" s="13"/>
    </row>
    <row r="329" spans="13:22" ht="12.5">
      <c r="M329" s="13"/>
      <c r="R329" s="13"/>
      <c r="S329" s="13"/>
      <c r="T329" s="13"/>
      <c r="V329" s="13"/>
    </row>
    <row r="330" spans="13:22" ht="12.5">
      <c r="M330" s="13"/>
      <c r="R330" s="13"/>
      <c r="S330" s="13"/>
      <c r="T330" s="13"/>
      <c r="V330" s="13"/>
    </row>
    <row r="331" spans="13:22" ht="12.5">
      <c r="M331" s="13"/>
      <c r="R331" s="13"/>
      <c r="S331" s="13"/>
      <c r="T331" s="13"/>
      <c r="V331" s="13"/>
    </row>
    <row r="332" spans="13:22" ht="12.5">
      <c r="M332" s="13"/>
      <c r="R332" s="13"/>
      <c r="S332" s="13"/>
      <c r="T332" s="13"/>
      <c r="V332" s="13"/>
    </row>
    <row r="333" spans="13:22" ht="12.5">
      <c r="M333" s="13"/>
      <c r="R333" s="13"/>
      <c r="S333" s="13"/>
      <c r="T333" s="13"/>
      <c r="V333" s="13"/>
    </row>
    <row r="334" spans="13:22" ht="12.5">
      <c r="M334" s="13"/>
      <c r="R334" s="13"/>
      <c r="S334" s="13"/>
      <c r="T334" s="13"/>
      <c r="V334" s="13"/>
    </row>
    <row r="335" spans="13:22" ht="12.5">
      <c r="M335" s="13"/>
      <c r="R335" s="13"/>
      <c r="S335" s="13"/>
      <c r="T335" s="13"/>
      <c r="V335" s="13"/>
    </row>
    <row r="336" spans="13:22" ht="12.5">
      <c r="M336" s="13"/>
      <c r="R336" s="13"/>
      <c r="S336" s="13"/>
      <c r="T336" s="13"/>
      <c r="V336" s="13"/>
    </row>
    <row r="337" spans="13:22" ht="12.5">
      <c r="M337" s="13"/>
      <c r="R337" s="13"/>
      <c r="S337" s="13"/>
      <c r="T337" s="13"/>
      <c r="V337" s="13"/>
    </row>
    <row r="338" spans="13:22" ht="12.5">
      <c r="M338" s="13"/>
      <c r="R338" s="13"/>
      <c r="S338" s="13"/>
      <c r="T338" s="13"/>
      <c r="V338" s="13"/>
    </row>
    <row r="339" spans="13:22" ht="12.5">
      <c r="M339" s="13"/>
      <c r="R339" s="13"/>
      <c r="S339" s="13"/>
      <c r="T339" s="13"/>
      <c r="V339" s="13"/>
    </row>
    <row r="340" spans="13:22" ht="12.5">
      <c r="M340" s="13"/>
      <c r="R340" s="13"/>
      <c r="S340" s="13"/>
      <c r="T340" s="13"/>
      <c r="V340" s="13"/>
    </row>
    <row r="341" spans="13:22" ht="12.5">
      <c r="M341" s="13"/>
      <c r="R341" s="13"/>
      <c r="S341" s="13"/>
      <c r="T341" s="13"/>
      <c r="V341" s="13"/>
    </row>
    <row r="342" spans="13:22" ht="12.5">
      <c r="M342" s="13"/>
      <c r="R342" s="13"/>
      <c r="S342" s="13"/>
      <c r="T342" s="13"/>
      <c r="V342" s="13"/>
    </row>
    <row r="343" spans="13:22" ht="12.5">
      <c r="M343" s="13"/>
      <c r="R343" s="13"/>
      <c r="S343" s="13"/>
      <c r="T343" s="13"/>
      <c r="V343" s="13"/>
    </row>
    <row r="344" spans="13:22" ht="12.5">
      <c r="M344" s="13"/>
      <c r="R344" s="13"/>
      <c r="S344" s="13"/>
      <c r="T344" s="13"/>
      <c r="V344" s="13"/>
    </row>
    <row r="345" spans="13:22" ht="12.5">
      <c r="M345" s="13"/>
      <c r="R345" s="13"/>
      <c r="S345" s="13"/>
      <c r="T345" s="13"/>
      <c r="V345" s="13"/>
    </row>
    <row r="346" spans="13:22" ht="12.5">
      <c r="M346" s="13"/>
      <c r="R346" s="13"/>
      <c r="S346" s="13"/>
      <c r="T346" s="13"/>
      <c r="V346" s="13"/>
    </row>
    <row r="347" spans="13:22" ht="12.5">
      <c r="M347" s="13"/>
      <c r="R347" s="13"/>
      <c r="S347" s="13"/>
      <c r="T347" s="13"/>
      <c r="V347" s="13"/>
    </row>
    <row r="348" spans="13:22" ht="12.5">
      <c r="M348" s="13"/>
      <c r="R348" s="13"/>
      <c r="S348" s="13"/>
      <c r="T348" s="13"/>
      <c r="V348" s="13"/>
    </row>
    <row r="349" spans="13:22" ht="12.5">
      <c r="M349" s="13"/>
      <c r="R349" s="13"/>
      <c r="S349" s="13"/>
      <c r="T349" s="13"/>
      <c r="V349" s="13"/>
    </row>
    <row r="350" spans="13:22" ht="12.5">
      <c r="M350" s="13"/>
      <c r="R350" s="13"/>
      <c r="S350" s="13"/>
      <c r="T350" s="13"/>
      <c r="V350" s="13"/>
    </row>
    <row r="351" spans="13:22" ht="12.5">
      <c r="M351" s="13"/>
      <c r="R351" s="13"/>
      <c r="S351" s="13"/>
      <c r="T351" s="13"/>
      <c r="V351" s="13"/>
    </row>
    <row r="352" spans="13:22" ht="12.5">
      <c r="M352" s="13"/>
      <c r="R352" s="13"/>
      <c r="S352" s="13"/>
      <c r="T352" s="13"/>
      <c r="V352" s="13"/>
    </row>
    <row r="353" spans="13:22" ht="12.5">
      <c r="M353" s="13"/>
      <c r="R353" s="13"/>
      <c r="S353" s="13"/>
      <c r="T353" s="13"/>
      <c r="V353" s="13"/>
    </row>
    <row r="354" spans="13:22" ht="12.5">
      <c r="M354" s="13"/>
      <c r="R354" s="13"/>
      <c r="S354" s="13"/>
      <c r="T354" s="13"/>
      <c r="V354" s="13"/>
    </row>
    <row r="355" spans="13:22" ht="12.5">
      <c r="M355" s="13"/>
      <c r="R355" s="13"/>
      <c r="S355" s="13"/>
      <c r="T355" s="13"/>
      <c r="V355" s="13"/>
    </row>
    <row r="356" spans="13:22" ht="12.5">
      <c r="M356" s="13"/>
      <c r="R356" s="13"/>
      <c r="S356" s="13"/>
      <c r="T356" s="13"/>
      <c r="V356" s="13"/>
    </row>
    <row r="357" spans="13:22" ht="12.5">
      <c r="M357" s="13"/>
      <c r="R357" s="13"/>
      <c r="S357" s="13"/>
      <c r="T357" s="13"/>
      <c r="V357" s="13"/>
    </row>
    <row r="358" spans="13:22" ht="12.5">
      <c r="M358" s="13"/>
      <c r="R358" s="13"/>
      <c r="S358" s="13"/>
      <c r="T358" s="13"/>
      <c r="V358" s="13"/>
    </row>
    <row r="359" spans="13:22" ht="12.5">
      <c r="M359" s="13"/>
      <c r="R359" s="13"/>
      <c r="S359" s="13"/>
      <c r="T359" s="13"/>
      <c r="V359" s="13"/>
    </row>
    <row r="360" spans="13:22" ht="12.5">
      <c r="M360" s="13"/>
      <c r="R360" s="13"/>
      <c r="S360" s="13"/>
      <c r="T360" s="13"/>
      <c r="V360" s="13"/>
    </row>
    <row r="361" spans="13:22" ht="12.5">
      <c r="M361" s="13"/>
      <c r="R361" s="13"/>
      <c r="S361" s="13"/>
      <c r="T361" s="13"/>
      <c r="V361" s="13"/>
    </row>
    <row r="362" spans="13:22" ht="12.5">
      <c r="M362" s="13"/>
      <c r="R362" s="13"/>
      <c r="S362" s="13"/>
      <c r="T362" s="13"/>
      <c r="V362" s="13"/>
    </row>
    <row r="363" spans="13:22" ht="12.5">
      <c r="M363" s="13"/>
      <c r="R363" s="13"/>
      <c r="S363" s="13"/>
      <c r="T363" s="13"/>
      <c r="V363" s="13"/>
    </row>
    <row r="364" spans="13:22" ht="12.5">
      <c r="M364" s="13"/>
      <c r="R364" s="13"/>
      <c r="S364" s="13"/>
      <c r="T364" s="13"/>
      <c r="V364" s="13"/>
    </row>
    <row r="365" spans="13:22" ht="12.5">
      <c r="M365" s="13"/>
      <c r="R365" s="13"/>
      <c r="S365" s="13"/>
      <c r="T365" s="13"/>
      <c r="V365" s="13"/>
    </row>
    <row r="366" spans="13:22" ht="12.5">
      <c r="M366" s="13"/>
      <c r="R366" s="13"/>
      <c r="S366" s="13"/>
      <c r="T366" s="13"/>
      <c r="V366" s="13"/>
    </row>
    <row r="367" spans="13:22" ht="12.5">
      <c r="M367" s="13"/>
      <c r="R367" s="13"/>
      <c r="S367" s="13"/>
      <c r="T367" s="13"/>
      <c r="V367" s="13"/>
    </row>
    <row r="368" spans="13:22" ht="12.5">
      <c r="M368" s="13"/>
      <c r="R368" s="13"/>
      <c r="S368" s="13"/>
      <c r="T368" s="13"/>
      <c r="V368" s="13"/>
    </row>
    <row r="369" spans="13:22" ht="12.5">
      <c r="M369" s="13"/>
      <c r="R369" s="13"/>
      <c r="S369" s="13"/>
      <c r="T369" s="13"/>
      <c r="V369" s="13"/>
    </row>
    <row r="370" spans="13:22" ht="12.5">
      <c r="M370" s="13"/>
      <c r="R370" s="13"/>
      <c r="S370" s="13"/>
      <c r="T370" s="13"/>
      <c r="V370" s="13"/>
    </row>
    <row r="371" spans="13:22" ht="12.5">
      <c r="M371" s="13"/>
      <c r="R371" s="13"/>
      <c r="S371" s="13"/>
      <c r="T371" s="13"/>
      <c r="V371" s="13"/>
    </row>
    <row r="372" spans="13:22" ht="12.5">
      <c r="M372" s="13"/>
      <c r="R372" s="13"/>
      <c r="S372" s="13"/>
      <c r="T372" s="13"/>
      <c r="V372" s="13"/>
    </row>
    <row r="373" spans="13:22" ht="12.5">
      <c r="M373" s="13"/>
      <c r="R373" s="13"/>
      <c r="S373" s="13"/>
      <c r="T373" s="13"/>
      <c r="V373" s="13"/>
    </row>
    <row r="374" spans="13:22" ht="12.5">
      <c r="M374" s="13"/>
      <c r="R374" s="13"/>
      <c r="S374" s="13"/>
      <c r="T374" s="13"/>
      <c r="V374" s="13"/>
    </row>
    <row r="375" spans="13:22" ht="12.5">
      <c r="M375" s="13"/>
      <c r="R375" s="13"/>
      <c r="S375" s="13"/>
      <c r="T375" s="13"/>
      <c r="V375" s="13"/>
    </row>
    <row r="376" spans="13:22" ht="12.5">
      <c r="M376" s="13"/>
      <c r="R376" s="13"/>
      <c r="S376" s="13"/>
      <c r="T376" s="13"/>
      <c r="V376" s="13"/>
    </row>
    <row r="377" spans="13:22" ht="12.5">
      <c r="M377" s="13"/>
      <c r="R377" s="13"/>
      <c r="S377" s="13"/>
      <c r="T377" s="13"/>
      <c r="V377" s="13"/>
    </row>
    <row r="378" spans="13:22" ht="12.5">
      <c r="M378" s="13"/>
      <c r="R378" s="13"/>
      <c r="S378" s="13"/>
      <c r="T378" s="13"/>
      <c r="V378" s="13"/>
    </row>
    <row r="379" spans="13:22" ht="12.5">
      <c r="M379" s="13"/>
      <c r="R379" s="13"/>
      <c r="S379" s="13"/>
      <c r="T379" s="13"/>
      <c r="V379" s="13"/>
    </row>
    <row r="380" spans="13:22" ht="12.5">
      <c r="M380" s="13"/>
      <c r="R380" s="13"/>
      <c r="S380" s="13"/>
      <c r="T380" s="13"/>
      <c r="V380" s="13"/>
    </row>
    <row r="381" spans="13:22" ht="12.5">
      <c r="M381" s="13"/>
      <c r="R381" s="13"/>
      <c r="S381" s="13"/>
      <c r="T381" s="13"/>
      <c r="V381" s="13"/>
    </row>
    <row r="382" spans="13:22" ht="12.5">
      <c r="M382" s="13"/>
      <c r="R382" s="13"/>
      <c r="S382" s="13"/>
      <c r="T382" s="13"/>
      <c r="V382" s="13"/>
    </row>
    <row r="383" spans="13:22" ht="12.5">
      <c r="M383" s="13"/>
      <c r="R383" s="13"/>
      <c r="S383" s="13"/>
      <c r="T383" s="13"/>
      <c r="V383" s="13"/>
    </row>
    <row r="384" spans="13:22" ht="12.5">
      <c r="M384" s="13"/>
      <c r="R384" s="13"/>
      <c r="S384" s="13"/>
      <c r="T384" s="13"/>
      <c r="V384" s="13"/>
    </row>
    <row r="385" spans="13:22" ht="12.5">
      <c r="M385" s="13"/>
      <c r="R385" s="13"/>
      <c r="S385" s="13"/>
      <c r="T385" s="13"/>
      <c r="V385" s="13"/>
    </row>
    <row r="386" spans="13:22" ht="12.5">
      <c r="M386" s="13"/>
      <c r="R386" s="13"/>
      <c r="S386" s="13"/>
      <c r="T386" s="13"/>
      <c r="V386" s="13"/>
    </row>
    <row r="387" spans="13:22" ht="12.5">
      <c r="M387" s="13"/>
      <c r="R387" s="13"/>
      <c r="S387" s="13"/>
      <c r="T387" s="13"/>
      <c r="V387" s="13"/>
    </row>
    <row r="388" spans="13:22" ht="12.5">
      <c r="M388" s="13"/>
      <c r="R388" s="13"/>
      <c r="S388" s="13"/>
      <c r="T388" s="13"/>
      <c r="V388" s="13"/>
    </row>
    <row r="389" spans="13:22" ht="12.5">
      <c r="M389" s="13"/>
      <c r="R389" s="13"/>
      <c r="S389" s="13"/>
      <c r="T389" s="13"/>
      <c r="V389" s="13"/>
    </row>
    <row r="390" spans="13:22" ht="12.5">
      <c r="M390" s="13"/>
      <c r="R390" s="13"/>
      <c r="S390" s="13"/>
      <c r="T390" s="13"/>
      <c r="V390" s="13"/>
    </row>
    <row r="391" spans="13:22" ht="12.5">
      <c r="M391" s="13"/>
      <c r="R391" s="13"/>
      <c r="S391" s="13"/>
      <c r="T391" s="13"/>
      <c r="V391" s="13"/>
    </row>
    <row r="392" spans="13:22" ht="12.5">
      <c r="M392" s="13"/>
      <c r="R392" s="13"/>
      <c r="S392" s="13"/>
      <c r="T392" s="13"/>
      <c r="V392" s="13"/>
    </row>
    <row r="393" spans="13:22" ht="12.5">
      <c r="M393" s="13"/>
      <c r="R393" s="13"/>
      <c r="S393" s="13"/>
      <c r="T393" s="13"/>
      <c r="V393" s="13"/>
    </row>
    <row r="394" spans="13:22" ht="12.5">
      <c r="M394" s="13"/>
      <c r="R394" s="13"/>
      <c r="S394" s="13"/>
      <c r="T394" s="13"/>
      <c r="V394" s="13"/>
    </row>
    <row r="395" spans="13:22" ht="12.5">
      <c r="M395" s="13"/>
      <c r="R395" s="13"/>
      <c r="S395" s="13"/>
      <c r="T395" s="13"/>
      <c r="V395" s="13"/>
    </row>
    <row r="396" spans="13:22" ht="12.5">
      <c r="M396" s="13"/>
      <c r="R396" s="13"/>
      <c r="S396" s="13"/>
      <c r="T396" s="13"/>
      <c r="V396" s="13"/>
    </row>
    <row r="397" spans="13:22" ht="12.5">
      <c r="M397" s="13"/>
      <c r="R397" s="13"/>
      <c r="S397" s="13"/>
      <c r="T397" s="13"/>
      <c r="V397" s="13"/>
    </row>
    <row r="398" spans="13:22" ht="12.5">
      <c r="M398" s="13"/>
      <c r="R398" s="13"/>
      <c r="S398" s="13"/>
      <c r="T398" s="13"/>
      <c r="V398" s="13"/>
    </row>
    <row r="399" spans="13:22" ht="12.5">
      <c r="M399" s="13"/>
      <c r="R399" s="13"/>
      <c r="S399" s="13"/>
      <c r="T399" s="13"/>
      <c r="V399" s="13"/>
    </row>
    <row r="400" spans="13:22" ht="12.5">
      <c r="M400" s="13"/>
      <c r="R400" s="13"/>
      <c r="S400" s="13"/>
      <c r="T400" s="13"/>
      <c r="V400" s="13"/>
    </row>
    <row r="401" spans="13:22" ht="12.5">
      <c r="M401" s="13"/>
      <c r="R401" s="13"/>
      <c r="S401" s="13"/>
      <c r="T401" s="13"/>
      <c r="V401" s="13"/>
    </row>
    <row r="402" spans="13:22" ht="12.5">
      <c r="M402" s="13"/>
      <c r="R402" s="13"/>
      <c r="S402" s="13"/>
      <c r="T402" s="13"/>
      <c r="V402" s="13"/>
    </row>
    <row r="403" spans="13:22" ht="12.5">
      <c r="M403" s="13"/>
      <c r="R403" s="13"/>
      <c r="S403" s="13"/>
      <c r="T403" s="13"/>
      <c r="V403" s="13"/>
    </row>
    <row r="404" spans="13:22" ht="12.5">
      <c r="M404" s="13"/>
      <c r="R404" s="13"/>
      <c r="S404" s="13"/>
      <c r="T404" s="13"/>
      <c r="V404" s="13"/>
    </row>
    <row r="405" spans="13:22" ht="12.5">
      <c r="M405" s="13"/>
      <c r="R405" s="13"/>
      <c r="S405" s="13"/>
      <c r="T405" s="13"/>
      <c r="V405" s="13"/>
    </row>
    <row r="406" spans="13:22" ht="12.5">
      <c r="M406" s="13"/>
      <c r="R406" s="13"/>
      <c r="S406" s="13"/>
      <c r="T406" s="13"/>
      <c r="V406" s="13"/>
    </row>
    <row r="407" spans="13:22" ht="12.5">
      <c r="M407" s="13"/>
      <c r="R407" s="13"/>
      <c r="S407" s="13"/>
      <c r="T407" s="13"/>
      <c r="V407" s="13"/>
    </row>
    <row r="408" spans="13:22" ht="12.5">
      <c r="M408" s="13"/>
      <c r="R408" s="13"/>
      <c r="S408" s="13"/>
      <c r="T408" s="13"/>
      <c r="V408" s="13"/>
    </row>
    <row r="409" spans="13:22" ht="12.5">
      <c r="M409" s="13"/>
      <c r="R409" s="13"/>
      <c r="S409" s="13"/>
      <c r="T409" s="13"/>
      <c r="V409" s="13"/>
    </row>
    <row r="410" spans="13:22" ht="12.5">
      <c r="M410" s="13"/>
      <c r="R410" s="13"/>
      <c r="S410" s="13"/>
      <c r="T410" s="13"/>
      <c r="V410" s="13"/>
    </row>
    <row r="411" spans="13:22" ht="12.5">
      <c r="M411" s="13"/>
      <c r="R411" s="13"/>
      <c r="S411" s="13"/>
      <c r="T411" s="13"/>
      <c r="V411" s="13"/>
    </row>
    <row r="412" spans="13:22" ht="12.5">
      <c r="M412" s="13"/>
      <c r="R412" s="13"/>
      <c r="S412" s="13"/>
      <c r="T412" s="13"/>
      <c r="V412" s="13"/>
    </row>
    <row r="413" spans="13:22" ht="12.5">
      <c r="M413" s="13"/>
      <c r="R413" s="13"/>
      <c r="S413" s="13"/>
      <c r="T413" s="13"/>
      <c r="V413" s="13"/>
    </row>
    <row r="414" spans="13:22" ht="12.5">
      <c r="M414" s="13"/>
      <c r="R414" s="13"/>
      <c r="S414" s="13"/>
      <c r="T414" s="13"/>
      <c r="V414" s="13"/>
    </row>
    <row r="415" spans="13:22" ht="12.5">
      <c r="M415" s="13"/>
      <c r="R415" s="13"/>
      <c r="S415" s="13"/>
      <c r="T415" s="13"/>
      <c r="V415" s="13"/>
    </row>
    <row r="416" spans="13:22" ht="12.5">
      <c r="M416" s="13"/>
      <c r="R416" s="13"/>
      <c r="S416" s="13"/>
      <c r="T416" s="13"/>
      <c r="V416" s="13"/>
    </row>
    <row r="417" spans="13:22" ht="12.5">
      <c r="M417" s="13"/>
      <c r="R417" s="13"/>
      <c r="S417" s="13"/>
      <c r="T417" s="13"/>
      <c r="V417" s="13"/>
    </row>
    <row r="418" spans="13:22" ht="12.5">
      <c r="M418" s="13"/>
      <c r="R418" s="13"/>
      <c r="S418" s="13"/>
      <c r="T418" s="13"/>
      <c r="V418" s="13"/>
    </row>
    <row r="419" spans="13:22" ht="12.5">
      <c r="M419" s="13"/>
      <c r="R419" s="13"/>
      <c r="S419" s="13"/>
      <c r="T419" s="13"/>
      <c r="V419" s="13"/>
    </row>
    <row r="420" spans="13:22" ht="12.5">
      <c r="M420" s="13"/>
      <c r="R420" s="13"/>
      <c r="S420" s="13"/>
      <c r="T420" s="13"/>
      <c r="V420" s="13"/>
    </row>
    <row r="421" spans="13:22" ht="12.5">
      <c r="M421" s="13"/>
      <c r="R421" s="13"/>
      <c r="S421" s="13"/>
      <c r="T421" s="13"/>
      <c r="V421" s="13"/>
    </row>
    <row r="422" spans="13:22" ht="12.5">
      <c r="M422" s="13"/>
      <c r="R422" s="13"/>
      <c r="S422" s="13"/>
      <c r="T422" s="13"/>
      <c r="V422" s="13"/>
    </row>
    <row r="423" spans="13:22" ht="12.5">
      <c r="M423" s="13"/>
      <c r="R423" s="13"/>
      <c r="S423" s="13"/>
      <c r="T423" s="13"/>
      <c r="V423" s="13"/>
    </row>
    <row r="424" spans="13:22" ht="12.5">
      <c r="M424" s="13"/>
      <c r="R424" s="13"/>
      <c r="S424" s="13"/>
      <c r="T424" s="13"/>
      <c r="V424" s="13"/>
    </row>
    <row r="425" spans="13:22" ht="12.5">
      <c r="M425" s="13"/>
      <c r="R425" s="13"/>
      <c r="S425" s="13"/>
      <c r="T425" s="13"/>
      <c r="V425" s="13"/>
    </row>
    <row r="426" spans="13:22" ht="12.5">
      <c r="M426" s="13"/>
      <c r="R426" s="13"/>
      <c r="S426" s="13"/>
      <c r="T426" s="13"/>
      <c r="V426" s="13"/>
    </row>
    <row r="427" spans="13:22" ht="12.5">
      <c r="M427" s="13"/>
      <c r="R427" s="13"/>
      <c r="S427" s="13"/>
      <c r="T427" s="13"/>
      <c r="V427" s="13"/>
    </row>
    <row r="428" spans="13:22" ht="12.5">
      <c r="M428" s="13"/>
      <c r="R428" s="13"/>
      <c r="S428" s="13"/>
      <c r="T428" s="13"/>
      <c r="V428" s="13"/>
    </row>
    <row r="429" spans="13:22" ht="12.5">
      <c r="M429" s="13"/>
      <c r="R429" s="13"/>
      <c r="S429" s="13"/>
      <c r="T429" s="13"/>
      <c r="V429" s="13"/>
    </row>
    <row r="430" spans="13:22" ht="12.5">
      <c r="M430" s="13"/>
      <c r="R430" s="13"/>
      <c r="S430" s="13"/>
      <c r="T430" s="13"/>
      <c r="V430" s="13"/>
    </row>
    <row r="431" spans="13:22" ht="12.5">
      <c r="M431" s="13"/>
      <c r="R431" s="13"/>
      <c r="S431" s="13"/>
      <c r="T431" s="13"/>
      <c r="V431" s="13"/>
    </row>
    <row r="432" spans="13:22" ht="12.5">
      <c r="M432" s="13"/>
      <c r="R432" s="13"/>
      <c r="S432" s="13"/>
      <c r="T432" s="13"/>
      <c r="V432" s="13"/>
    </row>
    <row r="433" spans="13:22" ht="12.5">
      <c r="M433" s="13"/>
      <c r="R433" s="13"/>
      <c r="S433" s="13"/>
      <c r="T433" s="13"/>
      <c r="V433" s="13"/>
    </row>
    <row r="434" spans="13:22" ht="12.5">
      <c r="M434" s="13"/>
      <c r="R434" s="13"/>
      <c r="S434" s="13"/>
      <c r="T434" s="13"/>
      <c r="V434" s="13"/>
    </row>
    <row r="435" spans="13:22" ht="12.5">
      <c r="M435" s="13"/>
      <c r="R435" s="13"/>
      <c r="S435" s="13"/>
      <c r="T435" s="13"/>
      <c r="V435" s="13"/>
    </row>
    <row r="436" spans="13:22" ht="12.5">
      <c r="M436" s="13"/>
      <c r="R436" s="13"/>
      <c r="S436" s="13"/>
      <c r="T436" s="13"/>
      <c r="V436" s="13"/>
    </row>
    <row r="437" spans="13:22" ht="12.5">
      <c r="M437" s="13"/>
      <c r="R437" s="13"/>
      <c r="S437" s="13"/>
      <c r="T437" s="13"/>
      <c r="V437" s="13"/>
    </row>
    <row r="438" spans="13:22" ht="12.5">
      <c r="M438" s="13"/>
      <c r="R438" s="13"/>
      <c r="S438" s="13"/>
      <c r="T438" s="13"/>
      <c r="V438" s="13"/>
    </row>
    <row r="439" spans="13:22" ht="12.5">
      <c r="M439" s="13"/>
      <c r="R439" s="13"/>
      <c r="S439" s="13"/>
      <c r="T439" s="13"/>
      <c r="V439" s="13"/>
    </row>
    <row r="440" spans="13:22" ht="12.5">
      <c r="M440" s="13"/>
      <c r="R440" s="13"/>
      <c r="S440" s="13"/>
      <c r="T440" s="13"/>
      <c r="V440" s="13"/>
    </row>
    <row r="441" spans="13:22" ht="12.5">
      <c r="M441" s="13"/>
      <c r="R441" s="13"/>
      <c r="S441" s="13"/>
      <c r="T441" s="13"/>
      <c r="V441" s="13"/>
    </row>
    <row r="442" spans="13:22" ht="12.5">
      <c r="M442" s="13"/>
      <c r="R442" s="13"/>
      <c r="S442" s="13"/>
      <c r="T442" s="13"/>
      <c r="V442" s="13"/>
    </row>
    <row r="443" spans="13:22" ht="12.5">
      <c r="M443" s="13"/>
      <c r="R443" s="13"/>
      <c r="S443" s="13"/>
      <c r="T443" s="13"/>
      <c r="V443" s="13"/>
    </row>
    <row r="444" spans="13:22" ht="12.5">
      <c r="M444" s="13"/>
      <c r="R444" s="13"/>
      <c r="S444" s="13"/>
      <c r="T444" s="13"/>
      <c r="V444" s="13"/>
    </row>
    <row r="445" spans="13:22" ht="12.5">
      <c r="M445" s="13"/>
      <c r="R445" s="13"/>
      <c r="S445" s="13"/>
      <c r="T445" s="13"/>
      <c r="V445" s="13"/>
    </row>
    <row r="446" spans="13:22" ht="12.5">
      <c r="M446" s="13"/>
      <c r="R446" s="13"/>
      <c r="S446" s="13"/>
      <c r="T446" s="13"/>
      <c r="V446" s="13"/>
    </row>
    <row r="447" spans="13:22" ht="12.5">
      <c r="M447" s="13"/>
      <c r="R447" s="13"/>
      <c r="S447" s="13"/>
      <c r="T447" s="13"/>
      <c r="V447" s="13"/>
    </row>
    <row r="448" spans="13:22" ht="12.5">
      <c r="M448" s="13"/>
      <c r="R448" s="13"/>
      <c r="S448" s="13"/>
      <c r="T448" s="13"/>
      <c r="V448" s="13"/>
    </row>
    <row r="449" spans="13:22" ht="12.5">
      <c r="M449" s="13"/>
      <c r="R449" s="13"/>
      <c r="S449" s="13"/>
      <c r="T449" s="13"/>
      <c r="V449" s="13"/>
    </row>
    <row r="450" spans="13:22" ht="12.5">
      <c r="M450" s="13"/>
      <c r="R450" s="13"/>
      <c r="S450" s="13"/>
      <c r="T450" s="13"/>
      <c r="V450" s="13"/>
    </row>
    <row r="451" spans="13:22" ht="12.5">
      <c r="M451" s="13"/>
      <c r="R451" s="13"/>
      <c r="S451" s="13"/>
      <c r="T451" s="13"/>
      <c r="V451" s="13"/>
    </row>
    <row r="452" spans="13:22" ht="12.5">
      <c r="M452" s="13"/>
      <c r="R452" s="13"/>
      <c r="S452" s="13"/>
      <c r="T452" s="13"/>
      <c r="V452" s="13"/>
    </row>
    <row r="453" spans="13:22" ht="12.5">
      <c r="M453" s="13"/>
      <c r="R453" s="13"/>
      <c r="S453" s="13"/>
      <c r="T453" s="13"/>
      <c r="V453" s="13"/>
    </row>
    <row r="454" spans="13:22" ht="12.5">
      <c r="M454" s="13"/>
      <c r="R454" s="13"/>
      <c r="S454" s="13"/>
      <c r="T454" s="13"/>
      <c r="V454" s="13"/>
    </row>
    <row r="455" spans="13:22" ht="12.5">
      <c r="M455" s="13"/>
      <c r="R455" s="13"/>
      <c r="S455" s="13"/>
      <c r="T455" s="13"/>
      <c r="V455" s="13"/>
    </row>
    <row r="456" spans="13:22" ht="12.5">
      <c r="M456" s="13"/>
      <c r="R456" s="13"/>
      <c r="S456" s="13"/>
      <c r="T456" s="13"/>
      <c r="V456" s="13"/>
    </row>
    <row r="457" spans="13:22" ht="12.5">
      <c r="M457" s="13"/>
      <c r="R457" s="13"/>
      <c r="S457" s="13"/>
      <c r="T457" s="13"/>
      <c r="V457" s="13"/>
    </row>
    <row r="458" spans="13:22" ht="12.5">
      <c r="M458" s="13"/>
      <c r="R458" s="13"/>
      <c r="S458" s="13"/>
      <c r="T458" s="13"/>
      <c r="V458" s="13"/>
    </row>
    <row r="459" spans="13:22" ht="12.5">
      <c r="M459" s="13"/>
      <c r="R459" s="13"/>
      <c r="S459" s="13"/>
      <c r="T459" s="13"/>
      <c r="V459" s="13"/>
    </row>
    <row r="460" spans="13:22" ht="12.5">
      <c r="M460" s="13"/>
      <c r="R460" s="13"/>
      <c r="S460" s="13"/>
      <c r="T460" s="13"/>
      <c r="V460" s="13"/>
    </row>
    <row r="461" spans="13:22" ht="12.5">
      <c r="M461" s="13"/>
      <c r="R461" s="13"/>
      <c r="S461" s="13"/>
      <c r="T461" s="13"/>
      <c r="V461" s="13"/>
    </row>
    <row r="462" spans="13:22" ht="12.5">
      <c r="M462" s="13"/>
      <c r="R462" s="13"/>
      <c r="S462" s="13"/>
      <c r="T462" s="13"/>
      <c r="V462" s="13"/>
    </row>
    <row r="463" spans="13:22" ht="12.5">
      <c r="M463" s="13"/>
      <c r="R463" s="13"/>
      <c r="S463" s="13"/>
      <c r="T463" s="13"/>
      <c r="V463" s="13"/>
    </row>
    <row r="464" spans="13:22" ht="12.5">
      <c r="M464" s="13"/>
      <c r="R464" s="13"/>
      <c r="S464" s="13"/>
      <c r="T464" s="13"/>
      <c r="V464" s="13"/>
    </row>
    <row r="465" spans="13:22" ht="12.5">
      <c r="M465" s="13"/>
      <c r="R465" s="13"/>
      <c r="S465" s="13"/>
      <c r="T465" s="13"/>
      <c r="V465" s="13"/>
    </row>
    <row r="466" spans="13:22" ht="12.5">
      <c r="M466" s="13"/>
      <c r="R466" s="13"/>
      <c r="S466" s="13"/>
      <c r="T466" s="13"/>
      <c r="V466" s="13"/>
    </row>
    <row r="467" spans="13:22" ht="12.5">
      <c r="M467" s="13"/>
      <c r="R467" s="13"/>
      <c r="S467" s="13"/>
      <c r="T467" s="13"/>
      <c r="V467" s="13"/>
    </row>
    <row r="468" spans="13:22" ht="12.5">
      <c r="M468" s="13"/>
      <c r="R468" s="13"/>
      <c r="S468" s="13"/>
      <c r="T468" s="13"/>
      <c r="V468" s="13"/>
    </row>
    <row r="469" spans="13:22" ht="12.5">
      <c r="M469" s="13"/>
      <c r="R469" s="13"/>
      <c r="S469" s="13"/>
      <c r="T469" s="13"/>
      <c r="V469" s="13"/>
    </row>
    <row r="470" spans="13:22" ht="12.5">
      <c r="M470" s="13"/>
      <c r="R470" s="13"/>
      <c r="S470" s="13"/>
      <c r="T470" s="13"/>
      <c r="V470" s="13"/>
    </row>
    <row r="471" spans="13:22" ht="12.5">
      <c r="M471" s="13"/>
      <c r="R471" s="13"/>
      <c r="S471" s="13"/>
      <c r="T471" s="13"/>
      <c r="V471" s="13"/>
    </row>
    <row r="472" spans="13:22" ht="12.5">
      <c r="M472" s="13"/>
      <c r="R472" s="13"/>
      <c r="S472" s="13"/>
      <c r="T472" s="13"/>
      <c r="V472" s="13"/>
    </row>
    <row r="473" spans="13:22" ht="12.5">
      <c r="M473" s="13"/>
      <c r="R473" s="13"/>
      <c r="S473" s="13"/>
      <c r="T473" s="13"/>
      <c r="V473" s="13"/>
    </row>
    <row r="474" spans="13:22" ht="12.5">
      <c r="M474" s="13"/>
      <c r="R474" s="13"/>
      <c r="S474" s="13"/>
      <c r="T474" s="13"/>
      <c r="V474" s="13"/>
    </row>
    <row r="475" spans="13:22" ht="12.5">
      <c r="M475" s="13"/>
      <c r="R475" s="13"/>
      <c r="S475" s="13"/>
      <c r="T475" s="13"/>
      <c r="V475" s="13"/>
    </row>
    <row r="476" spans="13:22" ht="12.5">
      <c r="M476" s="13"/>
      <c r="R476" s="13"/>
      <c r="S476" s="13"/>
      <c r="T476" s="13"/>
      <c r="V476" s="13"/>
    </row>
    <row r="477" spans="13:22" ht="12.5">
      <c r="M477" s="13"/>
      <c r="R477" s="13"/>
      <c r="S477" s="13"/>
      <c r="T477" s="13"/>
      <c r="V477" s="13"/>
    </row>
    <row r="478" spans="13:22" ht="12.5">
      <c r="M478" s="13"/>
      <c r="R478" s="13"/>
      <c r="S478" s="13"/>
      <c r="T478" s="13"/>
      <c r="V478" s="13"/>
    </row>
    <row r="479" spans="13:22" ht="12.5">
      <c r="M479" s="13"/>
      <c r="R479" s="13"/>
      <c r="S479" s="13"/>
      <c r="T479" s="13"/>
      <c r="V479" s="13"/>
    </row>
    <row r="480" spans="13:22" ht="12.5">
      <c r="M480" s="13"/>
      <c r="R480" s="13"/>
      <c r="S480" s="13"/>
      <c r="T480" s="13"/>
      <c r="V480" s="13"/>
    </row>
    <row r="481" spans="13:22" ht="12.5">
      <c r="M481" s="13"/>
      <c r="R481" s="13"/>
      <c r="S481" s="13"/>
      <c r="T481" s="13"/>
      <c r="V481" s="13"/>
    </row>
    <row r="482" spans="13:22" ht="12.5">
      <c r="M482" s="13"/>
      <c r="R482" s="13"/>
      <c r="S482" s="13"/>
      <c r="T482" s="13"/>
      <c r="V482" s="13"/>
    </row>
    <row r="483" spans="13:22" ht="12.5">
      <c r="M483" s="13"/>
      <c r="R483" s="13"/>
      <c r="S483" s="13"/>
      <c r="T483" s="13"/>
      <c r="V483" s="13"/>
    </row>
    <row r="484" spans="13:22" ht="12.5">
      <c r="M484" s="13"/>
      <c r="R484" s="13"/>
      <c r="S484" s="13"/>
      <c r="T484" s="13"/>
      <c r="V484" s="13"/>
    </row>
    <row r="485" spans="13:22" ht="12.5">
      <c r="M485" s="13"/>
      <c r="R485" s="13"/>
      <c r="S485" s="13"/>
      <c r="T485" s="13"/>
      <c r="V485" s="13"/>
    </row>
    <row r="486" spans="13:22" ht="12.5">
      <c r="M486" s="13"/>
      <c r="R486" s="13"/>
      <c r="S486" s="13"/>
      <c r="T486" s="13"/>
      <c r="V486" s="13"/>
    </row>
    <row r="487" spans="13:22" ht="12.5">
      <c r="M487" s="13"/>
      <c r="R487" s="13"/>
      <c r="S487" s="13"/>
      <c r="T487" s="13"/>
      <c r="V487" s="13"/>
    </row>
    <row r="488" spans="13:22" ht="12.5">
      <c r="M488" s="13"/>
      <c r="R488" s="13"/>
      <c r="S488" s="13"/>
      <c r="T488" s="13"/>
      <c r="V488" s="13"/>
    </row>
    <row r="489" spans="13:22" ht="12.5">
      <c r="M489" s="13"/>
      <c r="R489" s="13"/>
      <c r="S489" s="13"/>
      <c r="T489" s="13"/>
      <c r="V489" s="13"/>
    </row>
    <row r="490" spans="13:22" ht="12.5">
      <c r="M490" s="13"/>
      <c r="R490" s="13"/>
      <c r="S490" s="13"/>
      <c r="T490" s="13"/>
      <c r="V490" s="13"/>
    </row>
    <row r="491" spans="13:22" ht="12.5">
      <c r="M491" s="13"/>
      <c r="R491" s="13"/>
      <c r="S491" s="13"/>
      <c r="T491" s="13"/>
      <c r="V491" s="13"/>
    </row>
    <row r="492" spans="13:22" ht="12.5">
      <c r="M492" s="13"/>
      <c r="R492" s="13"/>
      <c r="S492" s="13"/>
      <c r="T492" s="13"/>
      <c r="V492" s="13"/>
    </row>
    <row r="493" spans="13:22" ht="12.5">
      <c r="M493" s="13"/>
      <c r="R493" s="13"/>
      <c r="S493" s="13"/>
      <c r="T493" s="13"/>
      <c r="V493" s="13"/>
    </row>
    <row r="494" spans="13:22" ht="12.5">
      <c r="M494" s="13"/>
      <c r="R494" s="13"/>
      <c r="S494" s="13"/>
      <c r="T494" s="13"/>
      <c r="V494" s="13"/>
    </row>
    <row r="495" spans="13:22" ht="12.5">
      <c r="M495" s="13"/>
      <c r="R495" s="13"/>
      <c r="S495" s="13"/>
      <c r="T495" s="13"/>
      <c r="V495" s="13"/>
    </row>
    <row r="496" spans="13:22" ht="12.5">
      <c r="M496" s="13"/>
      <c r="R496" s="13"/>
      <c r="S496" s="13"/>
      <c r="T496" s="13"/>
      <c r="V496" s="13"/>
    </row>
    <row r="497" spans="13:22" ht="12.5">
      <c r="M497" s="13"/>
      <c r="R497" s="13"/>
      <c r="S497" s="13"/>
      <c r="T497" s="13"/>
      <c r="V497" s="13"/>
    </row>
    <row r="498" spans="13:22" ht="12.5">
      <c r="M498" s="13"/>
      <c r="R498" s="13"/>
      <c r="S498" s="13"/>
      <c r="T498" s="13"/>
      <c r="V498" s="13"/>
    </row>
    <row r="499" spans="13:22" ht="12.5">
      <c r="M499" s="13"/>
      <c r="R499" s="13"/>
      <c r="S499" s="13"/>
      <c r="T499" s="13"/>
      <c r="V499" s="13"/>
    </row>
    <row r="500" spans="13:22" ht="12.5">
      <c r="M500" s="13"/>
      <c r="R500" s="13"/>
      <c r="S500" s="13"/>
      <c r="T500" s="13"/>
      <c r="V500" s="13"/>
    </row>
    <row r="501" spans="13:22" ht="12.5">
      <c r="M501" s="13"/>
      <c r="R501" s="13"/>
      <c r="S501" s="13"/>
      <c r="T501" s="13"/>
      <c r="V501" s="13"/>
    </row>
    <row r="502" spans="13:22" ht="12.5">
      <c r="M502" s="13"/>
      <c r="R502" s="13"/>
      <c r="S502" s="13"/>
      <c r="T502" s="13"/>
      <c r="V502" s="13"/>
    </row>
    <row r="503" spans="13:22" ht="12.5">
      <c r="M503" s="13"/>
      <c r="R503" s="13"/>
      <c r="S503" s="13"/>
      <c r="T503" s="13"/>
      <c r="V503" s="13"/>
    </row>
    <row r="504" spans="13:22" ht="12.5">
      <c r="M504" s="13"/>
      <c r="R504" s="13"/>
      <c r="S504" s="13"/>
      <c r="T504" s="13"/>
      <c r="V504" s="13"/>
    </row>
    <row r="505" spans="13:22" ht="12.5">
      <c r="M505" s="13"/>
      <c r="R505" s="13"/>
      <c r="S505" s="13"/>
      <c r="T505" s="13"/>
      <c r="V505" s="13"/>
    </row>
    <row r="506" spans="13:22" ht="12.5">
      <c r="M506" s="13"/>
      <c r="R506" s="13"/>
      <c r="S506" s="13"/>
      <c r="T506" s="13"/>
      <c r="V506" s="13"/>
    </row>
    <row r="507" spans="13:22" ht="12.5">
      <c r="M507" s="13"/>
      <c r="R507" s="13"/>
      <c r="S507" s="13"/>
      <c r="T507" s="13"/>
      <c r="V507" s="13"/>
    </row>
    <row r="508" spans="13:22" ht="12.5">
      <c r="M508" s="13"/>
      <c r="R508" s="13"/>
      <c r="S508" s="13"/>
      <c r="T508" s="13"/>
      <c r="V508" s="13"/>
    </row>
    <row r="509" spans="13:22" ht="12.5">
      <c r="M509" s="13"/>
      <c r="R509" s="13"/>
      <c r="S509" s="13"/>
      <c r="T509" s="13"/>
      <c r="V509" s="13"/>
    </row>
    <row r="510" spans="13:22" ht="12.5">
      <c r="M510" s="13"/>
      <c r="R510" s="13"/>
      <c r="S510" s="13"/>
      <c r="T510" s="13"/>
      <c r="V510" s="13"/>
    </row>
    <row r="511" spans="13:22" ht="12.5">
      <c r="M511" s="13"/>
      <c r="R511" s="13"/>
      <c r="S511" s="13"/>
      <c r="T511" s="13"/>
      <c r="V511" s="13"/>
    </row>
    <row r="512" spans="13:22" ht="12.5">
      <c r="M512" s="13"/>
      <c r="R512" s="13"/>
      <c r="S512" s="13"/>
      <c r="T512" s="13"/>
      <c r="V512" s="13"/>
    </row>
    <row r="513" spans="13:22" ht="12.5">
      <c r="M513" s="13"/>
      <c r="R513" s="13"/>
      <c r="S513" s="13"/>
      <c r="T513" s="13"/>
      <c r="V513" s="13"/>
    </row>
    <row r="514" spans="13:22" ht="12.5">
      <c r="M514" s="13"/>
      <c r="R514" s="13"/>
      <c r="S514" s="13"/>
      <c r="T514" s="13"/>
      <c r="V514" s="13"/>
    </row>
    <row r="515" spans="13:22" ht="12.5">
      <c r="M515" s="13"/>
      <c r="R515" s="13"/>
      <c r="S515" s="13"/>
      <c r="T515" s="13"/>
      <c r="V515" s="13"/>
    </row>
    <row r="516" spans="13:22" ht="12.5">
      <c r="M516" s="13"/>
      <c r="R516" s="13"/>
      <c r="S516" s="13"/>
      <c r="T516" s="13"/>
      <c r="V516" s="13"/>
    </row>
    <row r="517" spans="13:22" ht="12.5">
      <c r="M517" s="13"/>
      <c r="R517" s="13"/>
      <c r="S517" s="13"/>
      <c r="T517" s="13"/>
      <c r="V517" s="13"/>
    </row>
    <row r="518" spans="13:22" ht="12.5">
      <c r="M518" s="13"/>
      <c r="R518" s="13"/>
      <c r="S518" s="13"/>
      <c r="T518" s="13"/>
      <c r="V518" s="13"/>
    </row>
    <row r="519" spans="13:22" ht="12.5">
      <c r="M519" s="13"/>
      <c r="R519" s="13"/>
      <c r="S519" s="13"/>
      <c r="T519" s="13"/>
      <c r="V519" s="13"/>
    </row>
    <row r="520" spans="13:22" ht="12.5">
      <c r="M520" s="13"/>
      <c r="R520" s="13"/>
      <c r="S520" s="13"/>
      <c r="T520" s="13"/>
      <c r="V520" s="13"/>
    </row>
    <row r="521" spans="13:22" ht="12.5">
      <c r="M521" s="13"/>
      <c r="R521" s="13"/>
      <c r="S521" s="13"/>
      <c r="T521" s="13"/>
      <c r="V521" s="13"/>
    </row>
    <row r="522" spans="13:22" ht="12.5">
      <c r="M522" s="13"/>
      <c r="R522" s="13"/>
      <c r="S522" s="13"/>
      <c r="T522" s="13"/>
      <c r="V522" s="13"/>
    </row>
    <row r="523" spans="13:22" ht="12.5">
      <c r="M523" s="13"/>
      <c r="R523" s="13"/>
      <c r="S523" s="13"/>
      <c r="T523" s="13"/>
      <c r="V523" s="13"/>
    </row>
    <row r="524" spans="13:22" ht="12.5">
      <c r="M524" s="13"/>
      <c r="R524" s="13"/>
      <c r="S524" s="13"/>
      <c r="T524" s="13"/>
      <c r="V524" s="13"/>
    </row>
    <row r="525" spans="13:22" ht="12.5">
      <c r="M525" s="13"/>
      <c r="R525" s="13"/>
      <c r="S525" s="13"/>
      <c r="T525" s="13"/>
      <c r="V525" s="13"/>
    </row>
    <row r="526" spans="13:22" ht="12.5">
      <c r="M526" s="13"/>
      <c r="R526" s="13"/>
      <c r="S526" s="13"/>
      <c r="T526" s="13"/>
      <c r="V526" s="13"/>
    </row>
    <row r="527" spans="13:22" ht="12.5">
      <c r="M527" s="13"/>
      <c r="R527" s="13"/>
      <c r="S527" s="13"/>
      <c r="T527" s="13"/>
      <c r="V527" s="13"/>
    </row>
    <row r="528" spans="13:22" ht="12.5">
      <c r="M528" s="13"/>
      <c r="R528" s="13"/>
      <c r="S528" s="13"/>
      <c r="T528" s="13"/>
      <c r="V528" s="13"/>
    </row>
    <row r="529" spans="13:22" ht="12.5">
      <c r="M529" s="13"/>
      <c r="R529" s="13"/>
      <c r="S529" s="13"/>
      <c r="T529" s="13"/>
      <c r="V529" s="13"/>
    </row>
    <row r="530" spans="13:22" ht="12.5">
      <c r="M530" s="13"/>
      <c r="R530" s="13"/>
      <c r="S530" s="13"/>
      <c r="T530" s="13"/>
      <c r="V530" s="13"/>
    </row>
    <row r="531" spans="13:22" ht="12.5">
      <c r="M531" s="13"/>
      <c r="R531" s="13"/>
      <c r="S531" s="13"/>
      <c r="T531" s="13"/>
      <c r="V531" s="13"/>
    </row>
    <row r="532" spans="13:22" ht="12.5">
      <c r="M532" s="13"/>
      <c r="R532" s="13"/>
      <c r="S532" s="13"/>
      <c r="T532" s="13"/>
      <c r="V532" s="13"/>
    </row>
    <row r="533" spans="13:22" ht="12.5">
      <c r="M533" s="13"/>
      <c r="R533" s="13"/>
      <c r="S533" s="13"/>
      <c r="T533" s="13"/>
      <c r="V533" s="13"/>
    </row>
    <row r="534" spans="13:22" ht="12.5">
      <c r="M534" s="13"/>
      <c r="R534" s="13"/>
      <c r="S534" s="13"/>
      <c r="T534" s="13"/>
      <c r="V534" s="13"/>
    </row>
    <row r="535" spans="13:22" ht="12.5">
      <c r="M535" s="13"/>
      <c r="R535" s="13"/>
      <c r="S535" s="13"/>
      <c r="T535" s="13"/>
      <c r="V535" s="13"/>
    </row>
    <row r="536" spans="13:22" ht="12.5">
      <c r="M536" s="13"/>
      <c r="R536" s="13"/>
      <c r="S536" s="13"/>
      <c r="T536" s="13"/>
      <c r="V536" s="13"/>
    </row>
    <row r="537" spans="13:22" ht="12.5">
      <c r="M537" s="13"/>
      <c r="R537" s="13"/>
      <c r="S537" s="13"/>
      <c r="T537" s="13"/>
      <c r="V537" s="13"/>
    </row>
    <row r="538" spans="13:22" ht="12.5">
      <c r="M538" s="13"/>
      <c r="R538" s="13"/>
      <c r="S538" s="13"/>
      <c r="T538" s="13"/>
      <c r="V538" s="13"/>
    </row>
    <row r="539" spans="13:22" ht="12.5">
      <c r="M539" s="13"/>
      <c r="R539" s="13"/>
      <c r="S539" s="13"/>
      <c r="T539" s="13"/>
      <c r="V539" s="13"/>
    </row>
    <row r="540" spans="13:22" ht="12.5">
      <c r="M540" s="13"/>
      <c r="R540" s="13"/>
      <c r="S540" s="13"/>
      <c r="T540" s="13"/>
      <c r="V540" s="13"/>
    </row>
    <row r="541" spans="13:22" ht="12.5">
      <c r="M541" s="13"/>
      <c r="R541" s="13"/>
      <c r="S541" s="13"/>
      <c r="T541" s="13"/>
      <c r="V541" s="13"/>
    </row>
    <row r="542" spans="13:22" ht="12.5">
      <c r="M542" s="13"/>
      <c r="R542" s="13"/>
      <c r="S542" s="13"/>
      <c r="T542" s="13"/>
      <c r="V542" s="13"/>
    </row>
    <row r="543" spans="13:22" ht="12.5">
      <c r="M543" s="13"/>
      <c r="R543" s="13"/>
      <c r="S543" s="13"/>
      <c r="T543" s="13"/>
      <c r="V543" s="13"/>
    </row>
    <row r="544" spans="13:22" ht="12.5">
      <c r="M544" s="13"/>
      <c r="R544" s="13"/>
      <c r="S544" s="13"/>
      <c r="T544" s="13"/>
      <c r="V544" s="13"/>
    </row>
    <row r="545" spans="13:22" ht="12.5">
      <c r="M545" s="13"/>
      <c r="R545" s="13"/>
      <c r="S545" s="13"/>
      <c r="T545" s="13"/>
      <c r="V545" s="13"/>
    </row>
    <row r="546" spans="13:22" ht="12.5">
      <c r="M546" s="13"/>
      <c r="R546" s="13"/>
      <c r="S546" s="13"/>
      <c r="T546" s="13"/>
      <c r="V546" s="13"/>
    </row>
    <row r="547" spans="13:22" ht="12.5">
      <c r="M547" s="13"/>
      <c r="R547" s="13"/>
      <c r="S547" s="13"/>
      <c r="T547" s="13"/>
      <c r="V547" s="13"/>
    </row>
    <row r="548" spans="13:22" ht="12.5">
      <c r="M548" s="13"/>
      <c r="R548" s="13"/>
      <c r="S548" s="13"/>
      <c r="T548" s="13"/>
      <c r="V548" s="13"/>
    </row>
    <row r="549" spans="13:22" ht="12.5">
      <c r="M549" s="13"/>
      <c r="R549" s="13"/>
      <c r="S549" s="13"/>
      <c r="T549" s="13"/>
      <c r="V549" s="13"/>
    </row>
    <row r="550" spans="13:22" ht="12.5">
      <c r="M550" s="13"/>
      <c r="R550" s="13"/>
      <c r="S550" s="13"/>
      <c r="T550" s="13"/>
      <c r="V550" s="13"/>
    </row>
    <row r="551" spans="13:22" ht="12.5">
      <c r="M551" s="13"/>
      <c r="R551" s="13"/>
      <c r="S551" s="13"/>
      <c r="T551" s="13"/>
      <c r="V551" s="13"/>
    </row>
    <row r="552" spans="13:22" ht="12.5">
      <c r="M552" s="13"/>
      <c r="R552" s="13"/>
      <c r="S552" s="13"/>
      <c r="T552" s="13"/>
      <c r="V552" s="13"/>
    </row>
    <row r="553" spans="13:22" ht="12.5">
      <c r="M553" s="13"/>
      <c r="R553" s="13"/>
      <c r="S553" s="13"/>
      <c r="T553" s="13"/>
      <c r="V553" s="13"/>
    </row>
    <row r="554" spans="13:22" ht="12.5">
      <c r="M554" s="13"/>
      <c r="R554" s="13"/>
      <c r="S554" s="13"/>
      <c r="T554" s="13"/>
      <c r="V554" s="13"/>
    </row>
    <row r="555" spans="13:22" ht="12.5">
      <c r="M555" s="13"/>
      <c r="R555" s="13"/>
      <c r="S555" s="13"/>
      <c r="T555" s="13"/>
      <c r="V555" s="13"/>
    </row>
    <row r="556" spans="13:22" ht="12.5">
      <c r="M556" s="13"/>
      <c r="R556" s="13"/>
      <c r="S556" s="13"/>
      <c r="T556" s="13"/>
      <c r="V556" s="13"/>
    </row>
    <row r="557" spans="13:22" ht="12.5">
      <c r="M557" s="13"/>
      <c r="R557" s="13"/>
      <c r="S557" s="13"/>
      <c r="T557" s="13"/>
      <c r="V557" s="13"/>
    </row>
    <row r="558" spans="13:22" ht="12.5">
      <c r="M558" s="13"/>
      <c r="R558" s="13"/>
      <c r="S558" s="13"/>
      <c r="T558" s="13"/>
      <c r="V558" s="13"/>
    </row>
    <row r="559" spans="13:22" ht="12.5">
      <c r="M559" s="13"/>
      <c r="R559" s="13"/>
      <c r="S559" s="13"/>
      <c r="T559" s="13"/>
      <c r="V559" s="13"/>
    </row>
    <row r="560" spans="13:22" ht="12.5">
      <c r="M560" s="13"/>
      <c r="R560" s="13"/>
      <c r="S560" s="13"/>
      <c r="T560" s="13"/>
      <c r="V560" s="13"/>
    </row>
    <row r="561" spans="13:22" ht="12.5">
      <c r="M561" s="13"/>
      <c r="R561" s="13"/>
      <c r="S561" s="13"/>
      <c r="T561" s="13"/>
      <c r="V561" s="13"/>
    </row>
    <row r="562" spans="13:22" ht="12.5">
      <c r="M562" s="13"/>
      <c r="R562" s="13"/>
      <c r="S562" s="13"/>
      <c r="T562" s="13"/>
      <c r="V562" s="13"/>
    </row>
    <row r="563" spans="13:22" ht="12.5">
      <c r="M563" s="13"/>
      <c r="R563" s="13"/>
      <c r="S563" s="13"/>
      <c r="T563" s="13"/>
      <c r="V563" s="13"/>
    </row>
    <row r="564" spans="13:22" ht="12.5">
      <c r="M564" s="13"/>
      <c r="R564" s="13"/>
      <c r="S564" s="13"/>
      <c r="T564" s="13"/>
      <c r="V564" s="13"/>
    </row>
    <row r="565" spans="13:22" ht="12.5">
      <c r="M565" s="13"/>
      <c r="R565" s="13"/>
      <c r="S565" s="13"/>
      <c r="T565" s="13"/>
      <c r="V565" s="13"/>
    </row>
    <row r="566" spans="13:22" ht="12.5">
      <c r="M566" s="13"/>
      <c r="R566" s="13"/>
      <c r="S566" s="13"/>
      <c r="T566" s="13"/>
      <c r="V566" s="13"/>
    </row>
    <row r="567" spans="13:22" ht="12.5">
      <c r="M567" s="13"/>
      <c r="R567" s="13"/>
      <c r="S567" s="13"/>
      <c r="T567" s="13"/>
      <c r="V567" s="13"/>
    </row>
    <row r="568" spans="13:22" ht="12.5">
      <c r="M568" s="13"/>
      <c r="R568" s="13"/>
      <c r="S568" s="13"/>
      <c r="T568" s="13"/>
      <c r="V568" s="13"/>
    </row>
    <row r="569" spans="13:22" ht="12.5">
      <c r="M569" s="13"/>
      <c r="R569" s="13"/>
      <c r="S569" s="13"/>
      <c r="T569" s="13"/>
      <c r="V569" s="13"/>
    </row>
    <row r="570" spans="13:22" ht="12.5">
      <c r="M570" s="13"/>
      <c r="R570" s="13"/>
      <c r="S570" s="13"/>
      <c r="T570" s="13"/>
      <c r="V570" s="13"/>
    </row>
    <row r="571" spans="13:22" ht="12.5">
      <c r="M571" s="13"/>
      <c r="R571" s="13"/>
      <c r="S571" s="13"/>
      <c r="T571" s="13"/>
      <c r="V571" s="13"/>
    </row>
    <row r="572" spans="13:22" ht="12.5">
      <c r="M572" s="13"/>
      <c r="R572" s="13"/>
      <c r="S572" s="13"/>
      <c r="T572" s="13"/>
      <c r="V572" s="13"/>
    </row>
    <row r="573" spans="13:22" ht="12.5">
      <c r="M573" s="13"/>
      <c r="R573" s="13"/>
      <c r="S573" s="13"/>
      <c r="T573" s="13"/>
      <c r="V573" s="13"/>
    </row>
    <row r="574" spans="13:22" ht="12.5">
      <c r="M574" s="13"/>
      <c r="R574" s="13"/>
      <c r="S574" s="13"/>
      <c r="T574" s="13"/>
      <c r="V574" s="13"/>
    </row>
    <row r="575" spans="13:22" ht="12.5">
      <c r="M575" s="13"/>
      <c r="R575" s="13"/>
      <c r="S575" s="13"/>
      <c r="T575" s="13"/>
      <c r="V575" s="13"/>
    </row>
    <row r="576" spans="13:22" ht="12.5">
      <c r="M576" s="13"/>
      <c r="R576" s="13"/>
      <c r="S576" s="13"/>
      <c r="T576" s="13"/>
      <c r="V576" s="13"/>
    </row>
    <row r="577" spans="13:22" ht="12.5">
      <c r="M577" s="13"/>
      <c r="R577" s="13"/>
      <c r="S577" s="13"/>
      <c r="T577" s="13"/>
      <c r="V577" s="13"/>
    </row>
    <row r="578" spans="13:22" ht="12.5">
      <c r="M578" s="13"/>
      <c r="R578" s="13"/>
      <c r="S578" s="13"/>
      <c r="T578" s="13"/>
      <c r="V578" s="13"/>
    </row>
    <row r="579" spans="13:22" ht="12.5">
      <c r="M579" s="13"/>
      <c r="R579" s="13"/>
      <c r="S579" s="13"/>
      <c r="T579" s="13"/>
      <c r="V579" s="13"/>
    </row>
    <row r="580" spans="13:22" ht="12.5">
      <c r="M580" s="13"/>
      <c r="R580" s="13"/>
      <c r="S580" s="13"/>
      <c r="T580" s="13"/>
      <c r="V580" s="13"/>
    </row>
    <row r="581" spans="13:22" ht="12.5">
      <c r="M581" s="13"/>
      <c r="R581" s="13"/>
      <c r="S581" s="13"/>
      <c r="T581" s="13"/>
      <c r="V581" s="13"/>
    </row>
    <row r="582" spans="13:22" ht="12.5">
      <c r="M582" s="13"/>
      <c r="R582" s="13"/>
      <c r="S582" s="13"/>
      <c r="T582" s="13"/>
      <c r="V582" s="13"/>
    </row>
    <row r="583" spans="13:22" ht="12.5">
      <c r="M583" s="13"/>
      <c r="R583" s="13"/>
      <c r="S583" s="13"/>
      <c r="T583" s="13"/>
      <c r="V583" s="13"/>
    </row>
    <row r="584" spans="13:22" ht="12.5">
      <c r="M584" s="13"/>
      <c r="R584" s="13"/>
      <c r="S584" s="13"/>
      <c r="T584" s="13"/>
      <c r="V584" s="13"/>
    </row>
    <row r="585" spans="13:22" ht="12.5">
      <c r="M585" s="13"/>
      <c r="R585" s="13"/>
      <c r="S585" s="13"/>
      <c r="T585" s="13"/>
      <c r="V585" s="13"/>
    </row>
    <row r="586" spans="13:22" ht="12.5">
      <c r="M586" s="13"/>
      <c r="R586" s="13"/>
      <c r="S586" s="13"/>
      <c r="T586" s="13"/>
      <c r="V586" s="13"/>
    </row>
    <row r="587" spans="13:22" ht="12.5">
      <c r="M587" s="13"/>
      <c r="R587" s="13"/>
      <c r="S587" s="13"/>
      <c r="T587" s="13"/>
      <c r="V587" s="13"/>
    </row>
    <row r="588" spans="13:22" ht="12.5">
      <c r="M588" s="13"/>
      <c r="R588" s="13"/>
      <c r="S588" s="13"/>
      <c r="T588" s="13"/>
      <c r="V588" s="13"/>
    </row>
    <row r="589" spans="13:22" ht="12.5">
      <c r="M589" s="13"/>
      <c r="R589" s="13"/>
      <c r="S589" s="13"/>
      <c r="T589" s="13"/>
      <c r="V589" s="13"/>
    </row>
    <row r="590" spans="13:22" ht="12.5">
      <c r="M590" s="13"/>
      <c r="R590" s="13"/>
      <c r="S590" s="13"/>
      <c r="T590" s="13"/>
      <c r="V590" s="13"/>
    </row>
    <row r="591" spans="13:22" ht="12.5">
      <c r="M591" s="13"/>
      <c r="R591" s="13"/>
      <c r="S591" s="13"/>
      <c r="T591" s="13"/>
      <c r="V591" s="13"/>
    </row>
    <row r="592" spans="13:22" ht="12.5">
      <c r="M592" s="13"/>
      <c r="R592" s="13"/>
      <c r="S592" s="13"/>
      <c r="T592" s="13"/>
      <c r="V592" s="13"/>
    </row>
    <row r="593" spans="13:22" ht="12.5">
      <c r="M593" s="13"/>
      <c r="R593" s="13"/>
      <c r="S593" s="13"/>
      <c r="T593" s="13"/>
      <c r="V593" s="13"/>
    </row>
    <row r="594" spans="13:22" ht="12.5">
      <c r="M594" s="13"/>
      <c r="R594" s="13"/>
      <c r="S594" s="13"/>
      <c r="T594" s="13"/>
      <c r="V594" s="13"/>
    </row>
    <row r="595" spans="13:22" ht="12.5">
      <c r="M595" s="13"/>
      <c r="R595" s="13"/>
      <c r="S595" s="13"/>
      <c r="T595" s="13"/>
      <c r="V595" s="13"/>
    </row>
    <row r="596" spans="13:22" ht="12.5">
      <c r="M596" s="13"/>
      <c r="R596" s="13"/>
      <c r="S596" s="13"/>
      <c r="T596" s="13"/>
      <c r="V596" s="13"/>
    </row>
    <row r="597" spans="13:22" ht="12.5">
      <c r="M597" s="13"/>
      <c r="R597" s="13"/>
      <c r="S597" s="13"/>
      <c r="T597" s="13"/>
      <c r="V597" s="13"/>
    </row>
    <row r="598" spans="13:22" ht="12.5">
      <c r="M598" s="13"/>
      <c r="R598" s="13"/>
      <c r="S598" s="13"/>
      <c r="T598" s="13"/>
      <c r="V598" s="13"/>
    </row>
    <row r="599" spans="13:22" ht="12.5">
      <c r="M599" s="13"/>
      <c r="R599" s="13"/>
      <c r="S599" s="13"/>
      <c r="T599" s="13"/>
      <c r="V599" s="13"/>
    </row>
    <row r="600" spans="13:22" ht="12.5">
      <c r="M600" s="13"/>
      <c r="R600" s="13"/>
      <c r="S600" s="13"/>
      <c r="T600" s="13"/>
      <c r="V600" s="13"/>
    </row>
    <row r="601" spans="13:22" ht="12.5">
      <c r="M601" s="13"/>
      <c r="R601" s="13"/>
      <c r="S601" s="13"/>
      <c r="T601" s="13"/>
      <c r="V601" s="13"/>
    </row>
    <row r="602" spans="13:22" ht="12.5">
      <c r="M602" s="13"/>
      <c r="R602" s="13"/>
      <c r="S602" s="13"/>
      <c r="T602" s="13"/>
      <c r="V602" s="13"/>
    </row>
    <row r="603" spans="13:22" ht="12.5">
      <c r="M603" s="13"/>
      <c r="R603" s="13"/>
      <c r="S603" s="13"/>
      <c r="T603" s="13"/>
      <c r="V603" s="13"/>
    </row>
    <row r="604" spans="13:22" ht="12.5">
      <c r="M604" s="13"/>
      <c r="R604" s="13"/>
      <c r="S604" s="13"/>
      <c r="T604" s="13"/>
      <c r="V604" s="13"/>
    </row>
    <row r="605" spans="13:22" ht="12.5">
      <c r="M605" s="13"/>
      <c r="R605" s="13"/>
      <c r="S605" s="13"/>
      <c r="T605" s="13"/>
      <c r="V605" s="13"/>
    </row>
    <row r="606" spans="13:22" ht="12.5">
      <c r="M606" s="13"/>
      <c r="R606" s="13"/>
      <c r="S606" s="13"/>
      <c r="T606" s="13"/>
      <c r="V606" s="13"/>
    </row>
    <row r="607" spans="13:22" ht="12.5">
      <c r="M607" s="13"/>
      <c r="R607" s="13"/>
      <c r="S607" s="13"/>
      <c r="T607" s="13"/>
      <c r="V607" s="13"/>
    </row>
    <row r="608" spans="13:22" ht="12.5">
      <c r="M608" s="13"/>
      <c r="R608" s="13"/>
      <c r="S608" s="13"/>
      <c r="T608" s="13"/>
      <c r="V608" s="13"/>
    </row>
    <row r="609" spans="13:22" ht="12.5">
      <c r="M609" s="13"/>
      <c r="R609" s="13"/>
      <c r="S609" s="13"/>
      <c r="T609" s="13"/>
      <c r="V609" s="13"/>
    </row>
    <row r="610" spans="13:22" ht="12.5">
      <c r="M610" s="13"/>
      <c r="R610" s="13"/>
      <c r="S610" s="13"/>
      <c r="T610" s="13"/>
      <c r="V610" s="13"/>
    </row>
    <row r="611" spans="13:22" ht="12.5">
      <c r="M611" s="13"/>
      <c r="R611" s="13"/>
      <c r="S611" s="13"/>
      <c r="T611" s="13"/>
      <c r="V611" s="13"/>
    </row>
    <row r="612" spans="13:22" ht="12.5">
      <c r="M612" s="13"/>
      <c r="R612" s="13"/>
      <c r="S612" s="13"/>
      <c r="T612" s="13"/>
      <c r="V612" s="13"/>
    </row>
    <row r="613" spans="13:22" ht="12.5">
      <c r="M613" s="13"/>
      <c r="R613" s="13"/>
      <c r="S613" s="13"/>
      <c r="T613" s="13"/>
      <c r="V613" s="13"/>
    </row>
    <row r="614" spans="13:22" ht="12.5">
      <c r="M614" s="13"/>
      <c r="R614" s="13"/>
      <c r="S614" s="13"/>
      <c r="T614" s="13"/>
      <c r="V614" s="13"/>
    </row>
    <row r="615" spans="13:22" ht="12.5">
      <c r="M615" s="13"/>
      <c r="R615" s="13"/>
      <c r="S615" s="13"/>
      <c r="T615" s="13"/>
      <c r="V615" s="13"/>
    </row>
    <row r="616" spans="13:22" ht="12.5">
      <c r="M616" s="13"/>
      <c r="R616" s="13"/>
      <c r="S616" s="13"/>
      <c r="T616" s="13"/>
      <c r="V616" s="13"/>
    </row>
    <row r="617" spans="13:22" ht="12.5">
      <c r="M617" s="13"/>
      <c r="R617" s="13"/>
      <c r="S617" s="13"/>
      <c r="T617" s="13"/>
      <c r="V617" s="13"/>
    </row>
    <row r="618" spans="13:22" ht="12.5">
      <c r="M618" s="13"/>
      <c r="R618" s="13"/>
      <c r="S618" s="13"/>
      <c r="T618" s="13"/>
      <c r="V618" s="13"/>
    </row>
    <row r="619" spans="13:22" ht="12.5">
      <c r="M619" s="13"/>
      <c r="R619" s="13"/>
      <c r="S619" s="13"/>
      <c r="T619" s="13"/>
      <c r="V619" s="13"/>
    </row>
    <row r="620" spans="13:22" ht="12.5">
      <c r="M620" s="13"/>
      <c r="R620" s="13"/>
      <c r="S620" s="13"/>
      <c r="T620" s="13"/>
      <c r="V620" s="13"/>
    </row>
    <row r="621" spans="13:22" ht="12.5">
      <c r="M621" s="13"/>
      <c r="R621" s="13"/>
      <c r="S621" s="13"/>
      <c r="T621" s="13"/>
      <c r="V621" s="13"/>
    </row>
    <row r="622" spans="13:22" ht="12.5">
      <c r="M622" s="13"/>
      <c r="R622" s="13"/>
      <c r="S622" s="13"/>
      <c r="T622" s="13"/>
      <c r="V622" s="13"/>
    </row>
    <row r="623" spans="13:22" ht="12.5">
      <c r="M623" s="13"/>
      <c r="R623" s="13"/>
      <c r="S623" s="13"/>
      <c r="T623" s="13"/>
      <c r="V623" s="13"/>
    </row>
    <row r="624" spans="13:22" ht="12.5">
      <c r="M624" s="13"/>
      <c r="R624" s="13"/>
      <c r="S624" s="13"/>
      <c r="T624" s="13"/>
      <c r="V624" s="13"/>
    </row>
    <row r="625" spans="13:22" ht="12.5">
      <c r="M625" s="13"/>
      <c r="R625" s="13"/>
      <c r="S625" s="13"/>
      <c r="T625" s="13"/>
      <c r="V625" s="13"/>
    </row>
    <row r="626" spans="13:22" ht="12.5">
      <c r="M626" s="13"/>
      <c r="R626" s="13"/>
      <c r="S626" s="13"/>
      <c r="T626" s="13"/>
      <c r="V626" s="13"/>
    </row>
    <row r="627" spans="13:22" ht="12.5">
      <c r="M627" s="13"/>
      <c r="R627" s="13"/>
      <c r="S627" s="13"/>
      <c r="T627" s="13"/>
      <c r="V627" s="13"/>
    </row>
    <row r="628" spans="13:22" ht="12.5">
      <c r="M628" s="13"/>
      <c r="R628" s="13"/>
      <c r="S628" s="13"/>
      <c r="T628" s="13"/>
      <c r="V628" s="13"/>
    </row>
    <row r="629" spans="13:22" ht="12.5">
      <c r="M629" s="13"/>
      <c r="R629" s="13"/>
      <c r="S629" s="13"/>
      <c r="T629" s="13"/>
      <c r="V629" s="13"/>
    </row>
    <row r="630" spans="13:22" ht="12.5">
      <c r="M630" s="13"/>
      <c r="R630" s="13"/>
      <c r="S630" s="13"/>
      <c r="T630" s="13"/>
      <c r="V630" s="13"/>
    </row>
    <row r="631" spans="13:22" ht="12.5">
      <c r="M631" s="13"/>
      <c r="R631" s="13"/>
      <c r="S631" s="13"/>
      <c r="T631" s="13"/>
      <c r="V631" s="13"/>
    </row>
    <row r="632" spans="13:22" ht="12.5">
      <c r="M632" s="13"/>
      <c r="R632" s="13"/>
      <c r="S632" s="13"/>
      <c r="T632" s="13"/>
      <c r="V632" s="13"/>
    </row>
    <row r="633" spans="13:22" ht="12.5">
      <c r="M633" s="13"/>
      <c r="R633" s="13"/>
      <c r="S633" s="13"/>
      <c r="T633" s="13"/>
      <c r="V633" s="13"/>
    </row>
    <row r="634" spans="13:22" ht="12.5">
      <c r="M634" s="13"/>
      <c r="R634" s="13"/>
      <c r="S634" s="13"/>
      <c r="T634" s="13"/>
      <c r="V634" s="13"/>
    </row>
    <row r="635" spans="13:22" ht="12.5">
      <c r="M635" s="13"/>
      <c r="R635" s="13"/>
      <c r="S635" s="13"/>
      <c r="T635" s="13"/>
      <c r="V635" s="13"/>
    </row>
    <row r="636" spans="13:22" ht="12.5">
      <c r="M636" s="13"/>
      <c r="R636" s="13"/>
      <c r="S636" s="13"/>
      <c r="T636" s="13"/>
      <c r="V636" s="13"/>
    </row>
    <row r="637" spans="13:22" ht="12.5">
      <c r="M637" s="13"/>
      <c r="R637" s="13"/>
      <c r="S637" s="13"/>
      <c r="T637" s="13"/>
      <c r="V637" s="13"/>
    </row>
    <row r="638" spans="13:22" ht="12.5">
      <c r="M638" s="13"/>
      <c r="R638" s="13"/>
      <c r="S638" s="13"/>
      <c r="T638" s="13"/>
      <c r="V638" s="13"/>
    </row>
    <row r="639" spans="13:22" ht="12.5">
      <c r="M639" s="13"/>
      <c r="R639" s="13"/>
      <c r="S639" s="13"/>
      <c r="T639" s="13"/>
      <c r="V639" s="13"/>
    </row>
    <row r="640" spans="13:22" ht="12.5">
      <c r="M640" s="13"/>
      <c r="R640" s="13"/>
      <c r="S640" s="13"/>
      <c r="T640" s="13"/>
      <c r="V640" s="13"/>
    </row>
    <row r="641" spans="13:22" ht="12.5">
      <c r="M641" s="13"/>
      <c r="R641" s="13"/>
      <c r="S641" s="13"/>
      <c r="T641" s="13"/>
      <c r="V641" s="13"/>
    </row>
    <row r="642" spans="13:22" ht="12.5">
      <c r="M642" s="13"/>
      <c r="R642" s="13"/>
      <c r="S642" s="13"/>
      <c r="T642" s="13"/>
      <c r="V642" s="13"/>
    </row>
    <row r="643" spans="13:22" ht="12.5">
      <c r="M643" s="13"/>
      <c r="R643" s="13"/>
      <c r="S643" s="13"/>
      <c r="T643" s="13"/>
      <c r="V643" s="13"/>
    </row>
    <row r="644" spans="13:22" ht="12.5">
      <c r="M644" s="13"/>
      <c r="R644" s="13"/>
      <c r="S644" s="13"/>
      <c r="T644" s="13"/>
      <c r="V644" s="13"/>
    </row>
    <row r="645" spans="13:22" ht="12.5">
      <c r="M645" s="13"/>
      <c r="R645" s="13"/>
      <c r="S645" s="13"/>
      <c r="T645" s="13"/>
      <c r="V645" s="13"/>
    </row>
    <row r="646" spans="13:22" ht="12.5">
      <c r="M646" s="13"/>
      <c r="R646" s="13"/>
      <c r="S646" s="13"/>
      <c r="T646" s="13"/>
      <c r="V646" s="13"/>
    </row>
    <row r="647" spans="13:22" ht="12.5">
      <c r="M647" s="13"/>
      <c r="R647" s="13"/>
      <c r="S647" s="13"/>
      <c r="T647" s="13"/>
      <c r="V647" s="13"/>
    </row>
    <row r="648" spans="13:22" ht="12.5">
      <c r="M648" s="13"/>
      <c r="R648" s="13"/>
      <c r="S648" s="13"/>
      <c r="T648" s="13"/>
      <c r="V648" s="13"/>
    </row>
    <row r="649" spans="13:22" ht="12.5">
      <c r="M649" s="13"/>
      <c r="R649" s="13"/>
      <c r="S649" s="13"/>
      <c r="T649" s="13"/>
      <c r="V649" s="13"/>
    </row>
    <row r="650" spans="13:22" ht="12.5">
      <c r="M650" s="13"/>
      <c r="R650" s="13"/>
      <c r="S650" s="13"/>
      <c r="T650" s="13"/>
      <c r="V650" s="13"/>
    </row>
    <row r="651" spans="13:22" ht="12.5">
      <c r="M651" s="13"/>
      <c r="R651" s="13"/>
      <c r="S651" s="13"/>
      <c r="T651" s="13"/>
      <c r="V651" s="13"/>
    </row>
    <row r="652" spans="13:22" ht="12.5">
      <c r="M652" s="13"/>
      <c r="R652" s="13"/>
      <c r="S652" s="13"/>
      <c r="T652" s="13"/>
      <c r="V652" s="13"/>
    </row>
    <row r="653" spans="13:22" ht="12.5">
      <c r="M653" s="13"/>
      <c r="R653" s="13"/>
      <c r="S653" s="13"/>
      <c r="T653" s="13"/>
      <c r="V653" s="13"/>
    </row>
    <row r="654" spans="13:22" ht="12.5">
      <c r="M654" s="13"/>
      <c r="R654" s="13"/>
      <c r="S654" s="13"/>
      <c r="T654" s="13"/>
      <c r="V654" s="13"/>
    </row>
    <row r="655" spans="13:22" ht="12.5">
      <c r="M655" s="13"/>
      <c r="R655" s="13"/>
      <c r="S655" s="13"/>
      <c r="T655" s="13"/>
      <c r="V655" s="13"/>
    </row>
    <row r="656" spans="13:22" ht="12.5">
      <c r="M656" s="13"/>
      <c r="R656" s="13"/>
      <c r="S656" s="13"/>
      <c r="T656" s="13"/>
      <c r="V656" s="13"/>
    </row>
    <row r="657" spans="13:22" ht="12.5">
      <c r="M657" s="13"/>
      <c r="R657" s="13"/>
      <c r="S657" s="13"/>
      <c r="T657" s="13"/>
      <c r="V657" s="13"/>
    </row>
    <row r="658" spans="13:22" ht="12.5">
      <c r="M658" s="13"/>
      <c r="R658" s="13"/>
      <c r="S658" s="13"/>
      <c r="T658" s="13"/>
      <c r="V658" s="13"/>
    </row>
    <row r="659" spans="13:22" ht="12.5">
      <c r="M659" s="13"/>
      <c r="R659" s="13"/>
      <c r="S659" s="13"/>
      <c r="T659" s="13"/>
      <c r="V659" s="13"/>
    </row>
    <row r="660" spans="13:22" ht="12.5">
      <c r="M660" s="13"/>
      <c r="R660" s="13"/>
      <c r="S660" s="13"/>
      <c r="T660" s="13"/>
      <c r="V660" s="13"/>
    </row>
    <row r="661" spans="13:22" ht="12.5">
      <c r="M661" s="13"/>
      <c r="R661" s="13"/>
      <c r="S661" s="13"/>
      <c r="T661" s="13"/>
      <c r="V661" s="13"/>
    </row>
    <row r="662" spans="13:22" ht="12.5">
      <c r="M662" s="13"/>
      <c r="R662" s="13"/>
      <c r="S662" s="13"/>
      <c r="T662" s="13"/>
      <c r="V662" s="13"/>
    </row>
    <row r="663" spans="13:22" ht="12.5">
      <c r="M663" s="13"/>
      <c r="R663" s="13"/>
      <c r="S663" s="13"/>
      <c r="T663" s="13"/>
      <c r="V663" s="13"/>
    </row>
    <row r="664" spans="13:22" ht="12.5">
      <c r="M664" s="13"/>
      <c r="R664" s="13"/>
      <c r="S664" s="13"/>
      <c r="T664" s="13"/>
      <c r="V664" s="13"/>
    </row>
    <row r="665" spans="13:22" ht="12.5">
      <c r="M665" s="13"/>
      <c r="R665" s="13"/>
      <c r="S665" s="13"/>
      <c r="T665" s="13"/>
      <c r="V665" s="13"/>
    </row>
    <row r="666" spans="13:22" ht="12.5">
      <c r="M666" s="13"/>
      <c r="R666" s="13"/>
      <c r="S666" s="13"/>
      <c r="T666" s="13"/>
      <c r="V666" s="13"/>
    </row>
    <row r="667" spans="13:22" ht="12.5">
      <c r="M667" s="13"/>
      <c r="R667" s="13"/>
      <c r="S667" s="13"/>
      <c r="T667" s="13"/>
      <c r="V667" s="13"/>
    </row>
    <row r="668" spans="13:22" ht="12.5">
      <c r="M668" s="13"/>
      <c r="R668" s="13"/>
      <c r="S668" s="13"/>
      <c r="T668" s="13"/>
      <c r="V668" s="13"/>
    </row>
    <row r="669" spans="13:22" ht="12.5">
      <c r="M669" s="13"/>
      <c r="R669" s="13"/>
      <c r="S669" s="13"/>
      <c r="T669" s="13"/>
      <c r="V669" s="13"/>
    </row>
    <row r="670" spans="13:22" ht="12.5">
      <c r="M670" s="13"/>
      <c r="R670" s="13"/>
      <c r="S670" s="13"/>
      <c r="T670" s="13"/>
      <c r="V670" s="13"/>
    </row>
    <row r="671" spans="13:22" ht="12.5">
      <c r="M671" s="13"/>
      <c r="R671" s="13"/>
      <c r="S671" s="13"/>
      <c r="T671" s="13"/>
      <c r="V671" s="13"/>
    </row>
    <row r="672" spans="13:22" ht="12.5">
      <c r="M672" s="13"/>
      <c r="R672" s="13"/>
      <c r="S672" s="13"/>
      <c r="T672" s="13"/>
      <c r="V672" s="13"/>
    </row>
    <row r="673" spans="13:22" ht="12.5">
      <c r="M673" s="13"/>
      <c r="R673" s="13"/>
      <c r="S673" s="13"/>
      <c r="T673" s="13"/>
      <c r="V673" s="13"/>
    </row>
    <row r="674" spans="13:22" ht="12.5">
      <c r="M674" s="13"/>
      <c r="R674" s="13"/>
      <c r="S674" s="13"/>
      <c r="T674" s="13"/>
      <c r="V674" s="13"/>
    </row>
    <row r="675" spans="13:22" ht="12.5">
      <c r="M675" s="13"/>
      <c r="R675" s="13"/>
      <c r="S675" s="13"/>
      <c r="T675" s="13"/>
      <c r="V675" s="13"/>
    </row>
    <row r="676" spans="13:22" ht="12.5">
      <c r="M676" s="13"/>
      <c r="R676" s="13"/>
      <c r="S676" s="13"/>
      <c r="T676" s="13"/>
      <c r="V676" s="13"/>
    </row>
    <row r="677" spans="13:22" ht="12.5">
      <c r="M677" s="13"/>
      <c r="R677" s="13"/>
      <c r="S677" s="13"/>
      <c r="T677" s="13"/>
      <c r="V677" s="13"/>
    </row>
    <row r="678" spans="13:22" ht="12.5">
      <c r="M678" s="13"/>
      <c r="R678" s="13"/>
      <c r="S678" s="13"/>
      <c r="T678" s="13"/>
      <c r="V678" s="13"/>
    </row>
    <row r="679" spans="13:22" ht="12.5">
      <c r="M679" s="13"/>
      <c r="R679" s="13"/>
      <c r="S679" s="13"/>
      <c r="T679" s="13"/>
      <c r="V679" s="13"/>
    </row>
    <row r="680" spans="13:22" ht="12.5">
      <c r="M680" s="13"/>
      <c r="R680" s="13"/>
      <c r="S680" s="13"/>
      <c r="T680" s="13"/>
      <c r="V680" s="13"/>
    </row>
    <row r="681" spans="13:22" ht="12.5">
      <c r="M681" s="13"/>
      <c r="R681" s="13"/>
      <c r="S681" s="13"/>
      <c r="T681" s="13"/>
      <c r="V681" s="13"/>
    </row>
    <row r="682" spans="13:22" ht="12.5">
      <c r="M682" s="13"/>
      <c r="R682" s="13"/>
      <c r="S682" s="13"/>
      <c r="T682" s="13"/>
      <c r="V682" s="13"/>
    </row>
    <row r="683" spans="13:22" ht="12.5">
      <c r="M683" s="13"/>
      <c r="R683" s="13"/>
      <c r="S683" s="13"/>
      <c r="T683" s="13"/>
      <c r="V683" s="13"/>
    </row>
    <row r="684" spans="13:22" ht="12.5">
      <c r="M684" s="13"/>
      <c r="R684" s="13"/>
      <c r="S684" s="13"/>
      <c r="T684" s="13"/>
      <c r="V684" s="13"/>
    </row>
    <row r="685" spans="13:22" ht="12.5">
      <c r="M685" s="13"/>
      <c r="R685" s="13"/>
      <c r="S685" s="13"/>
      <c r="T685" s="13"/>
      <c r="V685" s="13"/>
    </row>
    <row r="686" spans="13:22" ht="12.5">
      <c r="M686" s="13"/>
      <c r="R686" s="13"/>
      <c r="S686" s="13"/>
      <c r="T686" s="13"/>
      <c r="V686" s="13"/>
    </row>
    <row r="687" spans="13:22" ht="12.5">
      <c r="M687" s="13"/>
      <c r="R687" s="13"/>
      <c r="S687" s="13"/>
      <c r="T687" s="13"/>
      <c r="V687" s="13"/>
    </row>
    <row r="688" spans="13:22" ht="12.5">
      <c r="M688" s="13"/>
      <c r="R688" s="13"/>
      <c r="S688" s="13"/>
      <c r="T688" s="13"/>
      <c r="V688" s="13"/>
    </row>
    <row r="689" spans="13:22" ht="12.5">
      <c r="M689" s="13"/>
      <c r="R689" s="13"/>
      <c r="S689" s="13"/>
      <c r="T689" s="13"/>
      <c r="V689" s="13"/>
    </row>
    <row r="690" spans="13:22" ht="12.5">
      <c r="M690" s="13"/>
      <c r="R690" s="13"/>
      <c r="S690" s="13"/>
      <c r="T690" s="13"/>
      <c r="V690" s="13"/>
    </row>
    <row r="691" spans="13:22" ht="12.5">
      <c r="M691" s="13"/>
      <c r="R691" s="13"/>
      <c r="S691" s="13"/>
      <c r="T691" s="13"/>
      <c r="V691" s="13"/>
    </row>
    <row r="692" spans="13:22" ht="12.5">
      <c r="M692" s="13"/>
      <c r="R692" s="13"/>
      <c r="S692" s="13"/>
      <c r="T692" s="13"/>
      <c r="V692" s="13"/>
    </row>
    <row r="693" spans="13:22" ht="12.5">
      <c r="M693" s="13"/>
      <c r="R693" s="13"/>
      <c r="S693" s="13"/>
      <c r="T693" s="13"/>
      <c r="V693" s="13"/>
    </row>
    <row r="694" spans="13:22" ht="12.5">
      <c r="M694" s="13"/>
      <c r="R694" s="13"/>
      <c r="S694" s="13"/>
      <c r="T694" s="13"/>
      <c r="V694" s="13"/>
    </row>
    <row r="695" spans="13:22" ht="12.5">
      <c r="M695" s="13"/>
      <c r="R695" s="13"/>
      <c r="S695" s="13"/>
      <c r="T695" s="13"/>
      <c r="V695" s="13"/>
    </row>
    <row r="696" spans="13:22" ht="12.5">
      <c r="M696" s="13"/>
      <c r="R696" s="13"/>
      <c r="S696" s="13"/>
      <c r="T696" s="13"/>
      <c r="V696" s="13"/>
    </row>
    <row r="697" spans="13:22" ht="12.5">
      <c r="M697" s="13"/>
      <c r="R697" s="13"/>
      <c r="S697" s="13"/>
      <c r="T697" s="13"/>
      <c r="V697" s="13"/>
    </row>
    <row r="698" spans="13:22" ht="12.5">
      <c r="M698" s="13"/>
      <c r="R698" s="13"/>
      <c r="S698" s="13"/>
      <c r="T698" s="13"/>
      <c r="V698" s="13"/>
    </row>
    <row r="699" spans="13:22" ht="12.5">
      <c r="M699" s="13"/>
      <c r="R699" s="13"/>
      <c r="S699" s="13"/>
      <c r="T699" s="13"/>
      <c r="V699" s="13"/>
    </row>
    <row r="700" spans="13:22" ht="12.5">
      <c r="M700" s="13"/>
      <c r="R700" s="13"/>
      <c r="S700" s="13"/>
      <c r="T700" s="13"/>
      <c r="V700" s="13"/>
    </row>
    <row r="701" spans="13:22" ht="12.5">
      <c r="M701" s="13"/>
      <c r="R701" s="13"/>
      <c r="S701" s="13"/>
      <c r="T701" s="13"/>
      <c r="V701" s="13"/>
    </row>
    <row r="702" spans="13:22" ht="12.5">
      <c r="M702" s="13"/>
      <c r="R702" s="13"/>
      <c r="S702" s="13"/>
      <c r="T702" s="13"/>
      <c r="V702" s="13"/>
    </row>
    <row r="703" spans="13:22" ht="12.5">
      <c r="M703" s="13"/>
      <c r="R703" s="13"/>
      <c r="S703" s="13"/>
      <c r="T703" s="13"/>
      <c r="V703" s="13"/>
    </row>
    <row r="704" spans="13:22" ht="12.5">
      <c r="M704" s="13"/>
      <c r="R704" s="13"/>
      <c r="S704" s="13"/>
      <c r="T704" s="13"/>
      <c r="V704" s="13"/>
    </row>
    <row r="705" spans="13:22" ht="12.5">
      <c r="M705" s="13"/>
      <c r="R705" s="13"/>
      <c r="S705" s="13"/>
      <c r="T705" s="13"/>
      <c r="V705" s="13"/>
    </row>
    <row r="706" spans="13:22" ht="12.5">
      <c r="M706" s="13"/>
      <c r="R706" s="13"/>
      <c r="S706" s="13"/>
      <c r="T706" s="13"/>
      <c r="V706" s="13"/>
    </row>
    <row r="707" spans="13:22" ht="12.5">
      <c r="M707" s="13"/>
      <c r="R707" s="13"/>
      <c r="S707" s="13"/>
      <c r="T707" s="13"/>
      <c r="V707" s="13"/>
    </row>
    <row r="708" spans="13:22" ht="12.5">
      <c r="M708" s="13"/>
      <c r="R708" s="13"/>
      <c r="S708" s="13"/>
      <c r="T708" s="13"/>
      <c r="V708" s="13"/>
    </row>
    <row r="709" spans="13:22" ht="12.5">
      <c r="M709" s="13"/>
      <c r="R709" s="13"/>
      <c r="S709" s="13"/>
      <c r="T709" s="13"/>
      <c r="V709" s="13"/>
    </row>
    <row r="710" spans="13:22" ht="12.5">
      <c r="M710" s="13"/>
      <c r="R710" s="13"/>
      <c r="S710" s="13"/>
      <c r="T710" s="13"/>
      <c r="V710" s="13"/>
    </row>
    <row r="711" spans="13:22" ht="12.5">
      <c r="M711" s="13"/>
      <c r="R711" s="13"/>
      <c r="S711" s="13"/>
      <c r="T711" s="13"/>
      <c r="V711" s="13"/>
    </row>
    <row r="712" spans="13:22" ht="12.5">
      <c r="M712" s="13"/>
      <c r="R712" s="13"/>
      <c r="S712" s="13"/>
      <c r="T712" s="13"/>
      <c r="V712" s="13"/>
    </row>
    <row r="713" spans="13:22" ht="12.5">
      <c r="M713" s="13"/>
      <c r="R713" s="13"/>
      <c r="S713" s="13"/>
      <c r="T713" s="13"/>
      <c r="V713" s="13"/>
    </row>
    <row r="714" spans="13:22" ht="12.5">
      <c r="M714" s="13"/>
      <c r="R714" s="13"/>
      <c r="S714" s="13"/>
      <c r="T714" s="13"/>
      <c r="V714" s="13"/>
    </row>
    <row r="715" spans="13:22" ht="12.5">
      <c r="M715" s="13"/>
      <c r="R715" s="13"/>
      <c r="S715" s="13"/>
      <c r="T715" s="13"/>
      <c r="V715" s="13"/>
    </row>
    <row r="716" spans="13:22" ht="12.5">
      <c r="M716" s="13"/>
      <c r="R716" s="13"/>
      <c r="S716" s="13"/>
      <c r="T716" s="13"/>
      <c r="V716" s="13"/>
    </row>
    <row r="717" spans="13:22" ht="12.5">
      <c r="M717" s="13"/>
      <c r="R717" s="13"/>
      <c r="S717" s="13"/>
      <c r="T717" s="13"/>
      <c r="V717" s="13"/>
    </row>
    <row r="718" spans="13:22" ht="12.5">
      <c r="M718" s="13"/>
      <c r="R718" s="13"/>
      <c r="S718" s="13"/>
      <c r="T718" s="13"/>
      <c r="V718" s="13"/>
    </row>
    <row r="719" spans="13:22" ht="12.5">
      <c r="M719" s="13"/>
      <c r="R719" s="13"/>
      <c r="S719" s="13"/>
      <c r="T719" s="13"/>
      <c r="V719" s="13"/>
    </row>
    <row r="720" spans="13:22" ht="12.5">
      <c r="M720" s="13"/>
      <c r="R720" s="13"/>
      <c r="S720" s="13"/>
      <c r="T720" s="13"/>
      <c r="V720" s="13"/>
    </row>
    <row r="721" spans="13:22" ht="12.5">
      <c r="M721" s="13"/>
      <c r="R721" s="13"/>
      <c r="S721" s="13"/>
      <c r="T721" s="13"/>
      <c r="V721" s="13"/>
    </row>
    <row r="722" spans="13:22" ht="12.5">
      <c r="M722" s="13"/>
      <c r="R722" s="13"/>
      <c r="S722" s="13"/>
      <c r="T722" s="13"/>
      <c r="V722" s="13"/>
    </row>
    <row r="723" spans="13:22" ht="12.5">
      <c r="M723" s="13"/>
      <c r="R723" s="13"/>
      <c r="S723" s="13"/>
      <c r="T723" s="13"/>
      <c r="V723" s="13"/>
    </row>
    <row r="724" spans="13:22" ht="12.5">
      <c r="M724" s="13"/>
      <c r="R724" s="13"/>
      <c r="S724" s="13"/>
      <c r="T724" s="13"/>
      <c r="V724" s="13"/>
    </row>
    <row r="725" spans="13:22" ht="12.5">
      <c r="M725" s="13"/>
      <c r="R725" s="13"/>
      <c r="S725" s="13"/>
      <c r="T725" s="13"/>
      <c r="V725" s="13"/>
    </row>
    <row r="726" spans="13:22" ht="12.5">
      <c r="M726" s="13"/>
      <c r="R726" s="13"/>
      <c r="S726" s="13"/>
      <c r="T726" s="13"/>
      <c r="V726" s="13"/>
    </row>
    <row r="727" spans="13:22" ht="12.5">
      <c r="M727" s="13"/>
      <c r="R727" s="13"/>
      <c r="S727" s="13"/>
      <c r="T727" s="13"/>
      <c r="V727" s="13"/>
    </row>
    <row r="728" spans="13:22" ht="12.5">
      <c r="M728" s="13"/>
      <c r="R728" s="13"/>
      <c r="S728" s="13"/>
      <c r="T728" s="13"/>
      <c r="V728" s="13"/>
    </row>
    <row r="729" spans="13:22" ht="12.5">
      <c r="M729" s="13"/>
      <c r="R729" s="13"/>
      <c r="S729" s="13"/>
      <c r="T729" s="13"/>
      <c r="V729" s="13"/>
    </row>
    <row r="730" spans="13:22" ht="12.5">
      <c r="M730" s="13"/>
      <c r="R730" s="13"/>
      <c r="S730" s="13"/>
      <c r="T730" s="13"/>
      <c r="V730" s="13"/>
    </row>
    <row r="731" spans="13:22" ht="12.5">
      <c r="M731" s="13"/>
      <c r="R731" s="13"/>
      <c r="S731" s="13"/>
      <c r="T731" s="13"/>
      <c r="V731" s="13"/>
    </row>
    <row r="732" spans="13:22" ht="12.5">
      <c r="M732" s="13"/>
      <c r="R732" s="13"/>
      <c r="S732" s="13"/>
      <c r="T732" s="13"/>
      <c r="V732" s="13"/>
    </row>
    <row r="733" spans="13:22" ht="12.5">
      <c r="M733" s="13"/>
      <c r="R733" s="13"/>
      <c r="S733" s="13"/>
      <c r="T733" s="13"/>
      <c r="V733" s="13"/>
    </row>
    <row r="734" spans="13:22" ht="12.5">
      <c r="M734" s="13"/>
      <c r="R734" s="13"/>
      <c r="S734" s="13"/>
      <c r="T734" s="13"/>
      <c r="V734" s="13"/>
    </row>
    <row r="735" spans="13:22" ht="12.5">
      <c r="M735" s="13"/>
      <c r="R735" s="13"/>
      <c r="S735" s="13"/>
      <c r="T735" s="13"/>
      <c r="V735" s="13"/>
    </row>
    <row r="736" spans="13:22" ht="12.5">
      <c r="M736" s="13"/>
      <c r="R736" s="13"/>
      <c r="S736" s="13"/>
      <c r="T736" s="13"/>
      <c r="V736" s="13"/>
    </row>
    <row r="737" spans="13:22" ht="12.5">
      <c r="M737" s="13"/>
      <c r="R737" s="13"/>
      <c r="S737" s="13"/>
      <c r="T737" s="13"/>
      <c r="V737" s="13"/>
    </row>
    <row r="738" spans="13:22" ht="12.5">
      <c r="M738" s="13"/>
      <c r="R738" s="13"/>
      <c r="S738" s="13"/>
      <c r="T738" s="13"/>
      <c r="V738" s="13"/>
    </row>
    <row r="739" spans="13:22" ht="12.5">
      <c r="M739" s="13"/>
      <c r="R739" s="13"/>
      <c r="S739" s="13"/>
      <c r="T739" s="13"/>
      <c r="V739" s="13"/>
    </row>
    <row r="740" spans="13:22" ht="12.5">
      <c r="M740" s="13"/>
      <c r="R740" s="13"/>
      <c r="S740" s="13"/>
      <c r="T740" s="13"/>
      <c r="V740" s="13"/>
    </row>
    <row r="741" spans="13:22" ht="12.5">
      <c r="M741" s="13"/>
      <c r="R741" s="13"/>
      <c r="S741" s="13"/>
      <c r="T741" s="13"/>
      <c r="V741" s="13"/>
    </row>
    <row r="742" spans="13:22" ht="12.5">
      <c r="M742" s="13"/>
      <c r="R742" s="13"/>
      <c r="S742" s="13"/>
      <c r="T742" s="13"/>
      <c r="V742" s="13"/>
    </row>
    <row r="743" spans="13:22" ht="12.5">
      <c r="M743" s="13"/>
      <c r="R743" s="13"/>
      <c r="S743" s="13"/>
      <c r="T743" s="13"/>
      <c r="V743" s="13"/>
    </row>
    <row r="744" spans="13:22" ht="12.5">
      <c r="M744" s="13"/>
      <c r="R744" s="13"/>
      <c r="S744" s="13"/>
      <c r="T744" s="13"/>
      <c r="V744" s="13"/>
    </row>
    <row r="745" spans="13:22" ht="12.5">
      <c r="M745" s="13"/>
      <c r="R745" s="13"/>
      <c r="S745" s="13"/>
      <c r="T745" s="13"/>
      <c r="V745" s="13"/>
    </row>
    <row r="746" spans="13:22" ht="12.5">
      <c r="M746" s="13"/>
      <c r="R746" s="13"/>
      <c r="S746" s="13"/>
      <c r="T746" s="13"/>
      <c r="V746" s="13"/>
    </row>
    <row r="747" spans="13:22" ht="12.5">
      <c r="M747" s="13"/>
      <c r="R747" s="13"/>
      <c r="S747" s="13"/>
      <c r="T747" s="13"/>
      <c r="V747" s="13"/>
    </row>
    <row r="748" spans="13:22" ht="12.5">
      <c r="M748" s="13"/>
      <c r="R748" s="13"/>
      <c r="S748" s="13"/>
      <c r="T748" s="13"/>
      <c r="V748" s="13"/>
    </row>
    <row r="749" spans="13:22" ht="12.5">
      <c r="M749" s="13"/>
      <c r="R749" s="13"/>
      <c r="S749" s="13"/>
      <c r="T749" s="13"/>
      <c r="V749" s="13"/>
    </row>
    <row r="750" spans="13:22" ht="12.5">
      <c r="M750" s="13"/>
      <c r="R750" s="13"/>
      <c r="S750" s="13"/>
      <c r="T750" s="13"/>
      <c r="V750" s="13"/>
    </row>
    <row r="751" spans="13:22" ht="12.5">
      <c r="M751" s="13"/>
      <c r="R751" s="13"/>
      <c r="S751" s="13"/>
      <c r="T751" s="13"/>
      <c r="V751" s="13"/>
    </row>
    <row r="752" spans="13:22" ht="12.5">
      <c r="M752" s="13"/>
      <c r="R752" s="13"/>
      <c r="S752" s="13"/>
      <c r="T752" s="13"/>
      <c r="V752" s="13"/>
    </row>
    <row r="753" spans="13:22" ht="12.5">
      <c r="M753" s="13"/>
      <c r="R753" s="13"/>
      <c r="S753" s="13"/>
      <c r="T753" s="13"/>
      <c r="V753" s="13"/>
    </row>
    <row r="754" spans="13:22" ht="12.5">
      <c r="M754" s="13"/>
      <c r="R754" s="13"/>
      <c r="S754" s="13"/>
      <c r="T754" s="13"/>
      <c r="V754" s="13"/>
    </row>
    <row r="755" spans="13:22" ht="12.5">
      <c r="M755" s="13"/>
      <c r="R755" s="13"/>
      <c r="S755" s="13"/>
      <c r="T755" s="13"/>
      <c r="V755" s="13"/>
    </row>
    <row r="756" spans="13:22" ht="12.5">
      <c r="M756" s="13"/>
      <c r="R756" s="13"/>
      <c r="S756" s="13"/>
      <c r="T756" s="13"/>
      <c r="V756" s="13"/>
    </row>
    <row r="757" spans="13:22" ht="12.5">
      <c r="M757" s="13"/>
      <c r="R757" s="13"/>
      <c r="S757" s="13"/>
      <c r="T757" s="13"/>
      <c r="V757" s="13"/>
    </row>
    <row r="758" spans="13:22" ht="12.5">
      <c r="M758" s="13"/>
      <c r="R758" s="13"/>
      <c r="S758" s="13"/>
      <c r="T758" s="13"/>
      <c r="V758" s="13"/>
    </row>
    <row r="759" spans="13:22" ht="12.5">
      <c r="M759" s="13"/>
      <c r="R759" s="13"/>
      <c r="S759" s="13"/>
      <c r="T759" s="13"/>
      <c r="V759" s="13"/>
    </row>
    <row r="760" spans="13:22" ht="12.5">
      <c r="M760" s="13"/>
      <c r="R760" s="13"/>
      <c r="S760" s="13"/>
      <c r="T760" s="13"/>
      <c r="V760" s="13"/>
    </row>
    <row r="761" spans="13:22" ht="12.5">
      <c r="M761" s="13"/>
      <c r="R761" s="13"/>
      <c r="S761" s="13"/>
      <c r="T761" s="13"/>
      <c r="V761" s="13"/>
    </row>
    <row r="762" spans="13:22" ht="12.5">
      <c r="M762" s="13"/>
      <c r="R762" s="13"/>
      <c r="S762" s="13"/>
      <c r="T762" s="13"/>
      <c r="V762" s="13"/>
    </row>
    <row r="763" spans="13:22" ht="12.5">
      <c r="M763" s="13"/>
      <c r="R763" s="13"/>
      <c r="S763" s="13"/>
      <c r="T763" s="13"/>
      <c r="V763" s="13"/>
    </row>
    <row r="764" spans="13:22" ht="12.5">
      <c r="M764" s="13"/>
      <c r="R764" s="13"/>
      <c r="S764" s="13"/>
      <c r="T764" s="13"/>
      <c r="V764" s="13"/>
    </row>
    <row r="765" spans="13:22" ht="12.5">
      <c r="M765" s="13"/>
      <c r="R765" s="13"/>
      <c r="S765" s="13"/>
      <c r="T765" s="13"/>
      <c r="V765" s="13"/>
    </row>
    <row r="766" spans="13:22" ht="12.5">
      <c r="M766" s="13"/>
      <c r="R766" s="13"/>
      <c r="S766" s="13"/>
      <c r="T766" s="13"/>
      <c r="V766" s="13"/>
    </row>
    <row r="767" spans="13:22" ht="12.5">
      <c r="M767" s="13"/>
      <c r="R767" s="13"/>
      <c r="S767" s="13"/>
      <c r="T767" s="13"/>
      <c r="V767" s="13"/>
    </row>
    <row r="768" spans="13:22" ht="12.5">
      <c r="M768" s="13"/>
      <c r="R768" s="13"/>
      <c r="S768" s="13"/>
      <c r="T768" s="13"/>
      <c r="V768" s="13"/>
    </row>
    <row r="769" spans="13:22" ht="12.5">
      <c r="M769" s="13"/>
      <c r="R769" s="13"/>
      <c r="S769" s="13"/>
      <c r="T769" s="13"/>
      <c r="V769" s="13"/>
    </row>
    <row r="770" spans="13:22" ht="12.5">
      <c r="M770" s="13"/>
      <c r="R770" s="13"/>
      <c r="S770" s="13"/>
      <c r="T770" s="13"/>
      <c r="V770" s="13"/>
    </row>
    <row r="771" spans="13:22" ht="12.5">
      <c r="M771" s="13"/>
      <c r="R771" s="13"/>
      <c r="S771" s="13"/>
      <c r="T771" s="13"/>
      <c r="V771" s="13"/>
    </row>
    <row r="772" spans="13:22" ht="12.5">
      <c r="M772" s="13"/>
      <c r="R772" s="13"/>
      <c r="S772" s="13"/>
      <c r="T772" s="13"/>
      <c r="V772" s="13"/>
    </row>
    <row r="773" spans="13:22" ht="12.5">
      <c r="M773" s="13"/>
      <c r="R773" s="13"/>
      <c r="S773" s="13"/>
      <c r="T773" s="13"/>
      <c r="V773" s="13"/>
    </row>
    <row r="774" spans="13:22" ht="12.5">
      <c r="M774" s="13"/>
      <c r="R774" s="13"/>
      <c r="S774" s="13"/>
      <c r="T774" s="13"/>
      <c r="V774" s="13"/>
    </row>
    <row r="775" spans="13:22" ht="12.5">
      <c r="M775" s="13"/>
      <c r="R775" s="13"/>
      <c r="S775" s="13"/>
      <c r="T775" s="13"/>
      <c r="V775" s="13"/>
    </row>
    <row r="776" spans="13:22" ht="12.5">
      <c r="M776" s="13"/>
      <c r="R776" s="13"/>
      <c r="S776" s="13"/>
      <c r="T776" s="13"/>
      <c r="V776" s="13"/>
    </row>
    <row r="777" spans="13:22" ht="12.5">
      <c r="M777" s="13"/>
      <c r="R777" s="13"/>
      <c r="S777" s="13"/>
      <c r="T777" s="13"/>
      <c r="V777" s="13"/>
    </row>
    <row r="778" spans="13:22" ht="12.5">
      <c r="M778" s="13"/>
      <c r="R778" s="13"/>
      <c r="S778" s="13"/>
      <c r="T778" s="13"/>
      <c r="V778" s="13"/>
    </row>
    <row r="779" spans="13:22" ht="12.5">
      <c r="M779" s="13"/>
      <c r="R779" s="13"/>
      <c r="S779" s="13"/>
      <c r="T779" s="13"/>
      <c r="V779" s="13"/>
    </row>
    <row r="780" spans="13:22" ht="12.5">
      <c r="M780" s="13"/>
      <c r="R780" s="13"/>
      <c r="S780" s="13"/>
      <c r="T780" s="13"/>
      <c r="V780" s="13"/>
    </row>
    <row r="781" spans="13:22" ht="12.5">
      <c r="M781" s="13"/>
      <c r="R781" s="13"/>
      <c r="S781" s="13"/>
      <c r="T781" s="13"/>
      <c r="V781" s="13"/>
    </row>
    <row r="782" spans="13:22" ht="12.5">
      <c r="M782" s="13"/>
      <c r="R782" s="13"/>
      <c r="S782" s="13"/>
      <c r="T782" s="13"/>
      <c r="V782" s="13"/>
    </row>
    <row r="783" spans="13:22" ht="12.5">
      <c r="M783" s="13"/>
      <c r="R783" s="13"/>
      <c r="S783" s="13"/>
      <c r="T783" s="13"/>
      <c r="V783" s="13"/>
    </row>
    <row r="784" spans="13:22" ht="12.5">
      <c r="M784" s="13"/>
      <c r="R784" s="13"/>
      <c r="S784" s="13"/>
      <c r="T784" s="13"/>
      <c r="V784" s="13"/>
    </row>
    <row r="785" spans="13:22" ht="12.5">
      <c r="M785" s="13"/>
      <c r="R785" s="13"/>
      <c r="S785" s="13"/>
      <c r="T785" s="13"/>
      <c r="V785" s="13"/>
    </row>
    <row r="786" spans="13:22" ht="12.5">
      <c r="M786" s="13"/>
      <c r="R786" s="13"/>
      <c r="S786" s="13"/>
      <c r="T786" s="13"/>
      <c r="V786" s="13"/>
    </row>
    <row r="787" spans="13:22" ht="12.5">
      <c r="M787" s="13"/>
      <c r="R787" s="13"/>
      <c r="S787" s="13"/>
      <c r="T787" s="13"/>
      <c r="V787" s="13"/>
    </row>
    <row r="788" spans="13:22" ht="12.5">
      <c r="M788" s="13"/>
      <c r="R788" s="13"/>
      <c r="S788" s="13"/>
      <c r="T788" s="13"/>
      <c r="V788" s="13"/>
    </row>
    <row r="789" spans="13:22" ht="12.5">
      <c r="M789" s="13"/>
      <c r="R789" s="13"/>
      <c r="S789" s="13"/>
      <c r="T789" s="13"/>
      <c r="V789" s="13"/>
    </row>
    <row r="790" spans="13:22" ht="12.5">
      <c r="M790" s="13"/>
      <c r="R790" s="13"/>
      <c r="S790" s="13"/>
      <c r="T790" s="13"/>
      <c r="V790" s="13"/>
    </row>
    <row r="791" spans="13:22" ht="12.5">
      <c r="M791" s="13"/>
      <c r="R791" s="13"/>
      <c r="S791" s="13"/>
      <c r="T791" s="13"/>
      <c r="V791" s="13"/>
    </row>
    <row r="792" spans="13:22" ht="12.5">
      <c r="M792" s="13"/>
      <c r="R792" s="13"/>
      <c r="S792" s="13"/>
      <c r="T792" s="13"/>
      <c r="V792" s="13"/>
    </row>
    <row r="793" spans="13:22" ht="12.5">
      <c r="M793" s="13"/>
      <c r="R793" s="13"/>
      <c r="S793" s="13"/>
      <c r="T793" s="13"/>
      <c r="V793" s="13"/>
    </row>
    <row r="794" spans="13:22" ht="12.5">
      <c r="M794" s="13"/>
      <c r="R794" s="13"/>
      <c r="S794" s="13"/>
      <c r="T794" s="13"/>
      <c r="V794" s="13"/>
    </row>
    <row r="795" spans="13:22" ht="12.5">
      <c r="M795" s="13"/>
      <c r="R795" s="13"/>
      <c r="S795" s="13"/>
      <c r="T795" s="13"/>
      <c r="V795" s="13"/>
    </row>
    <row r="796" spans="13:22" ht="12.5">
      <c r="M796" s="13"/>
      <c r="R796" s="13"/>
      <c r="S796" s="13"/>
      <c r="T796" s="13"/>
      <c r="V796" s="13"/>
    </row>
    <row r="797" spans="13:22" ht="12.5">
      <c r="M797" s="13"/>
      <c r="R797" s="13"/>
      <c r="S797" s="13"/>
      <c r="T797" s="13"/>
      <c r="V797" s="13"/>
    </row>
    <row r="798" spans="13:22" ht="12.5">
      <c r="M798" s="13"/>
      <c r="R798" s="13"/>
      <c r="S798" s="13"/>
      <c r="T798" s="13"/>
      <c r="V798" s="13"/>
    </row>
    <row r="799" spans="13:22" ht="12.5">
      <c r="M799" s="13"/>
      <c r="R799" s="13"/>
      <c r="S799" s="13"/>
      <c r="T799" s="13"/>
      <c r="V799" s="13"/>
    </row>
    <row r="800" spans="13:22" ht="12.5">
      <c r="M800" s="13"/>
      <c r="R800" s="13"/>
      <c r="S800" s="13"/>
      <c r="T800" s="13"/>
      <c r="V800" s="13"/>
    </row>
    <row r="801" spans="13:22" ht="12.5">
      <c r="M801" s="13"/>
      <c r="R801" s="13"/>
      <c r="S801" s="13"/>
      <c r="T801" s="13"/>
      <c r="V801" s="13"/>
    </row>
    <row r="802" spans="13:22" ht="12.5">
      <c r="M802" s="13"/>
      <c r="R802" s="13"/>
      <c r="S802" s="13"/>
      <c r="T802" s="13"/>
      <c r="V802" s="13"/>
    </row>
    <row r="803" spans="13:22" ht="12.5">
      <c r="M803" s="13"/>
      <c r="R803" s="13"/>
      <c r="S803" s="13"/>
      <c r="T803" s="13"/>
      <c r="V803" s="13"/>
    </row>
    <row r="804" spans="13:22" ht="12.5">
      <c r="M804" s="13"/>
      <c r="R804" s="13"/>
      <c r="S804" s="13"/>
      <c r="T804" s="13"/>
      <c r="V804" s="13"/>
    </row>
    <row r="805" spans="13:22" ht="12.5">
      <c r="M805" s="13"/>
      <c r="R805" s="13"/>
      <c r="S805" s="13"/>
      <c r="T805" s="13"/>
      <c r="V805" s="13"/>
    </row>
    <row r="806" spans="13:22" ht="12.5">
      <c r="M806" s="13"/>
      <c r="R806" s="13"/>
      <c r="S806" s="13"/>
      <c r="T806" s="13"/>
      <c r="V806" s="13"/>
    </row>
    <row r="807" spans="13:22" ht="12.5">
      <c r="M807" s="13"/>
      <c r="R807" s="13"/>
      <c r="S807" s="13"/>
      <c r="T807" s="13"/>
      <c r="V807" s="13"/>
    </row>
    <row r="808" spans="13:22" ht="12.5">
      <c r="M808" s="13"/>
      <c r="R808" s="13"/>
      <c r="S808" s="13"/>
      <c r="T808" s="13"/>
      <c r="V808" s="13"/>
    </row>
    <row r="809" spans="13:22" ht="12.5">
      <c r="M809" s="13"/>
      <c r="R809" s="13"/>
      <c r="S809" s="13"/>
      <c r="T809" s="13"/>
      <c r="V809" s="13"/>
    </row>
    <row r="810" spans="13:22" ht="12.5">
      <c r="M810" s="13"/>
      <c r="R810" s="13"/>
      <c r="S810" s="13"/>
      <c r="T810" s="13"/>
      <c r="V810" s="13"/>
    </row>
    <row r="811" spans="13:22" ht="12.5">
      <c r="M811" s="13"/>
      <c r="R811" s="13"/>
      <c r="S811" s="13"/>
      <c r="T811" s="13"/>
      <c r="V811" s="13"/>
    </row>
    <row r="812" spans="13:22" ht="12.5">
      <c r="M812" s="13"/>
      <c r="R812" s="13"/>
      <c r="S812" s="13"/>
      <c r="T812" s="13"/>
      <c r="V812" s="13"/>
    </row>
    <row r="813" spans="13:22" ht="12.5">
      <c r="M813" s="13"/>
      <c r="R813" s="13"/>
      <c r="S813" s="13"/>
      <c r="T813" s="13"/>
      <c r="V813" s="13"/>
    </row>
    <row r="814" spans="13:22" ht="12.5">
      <c r="M814" s="13"/>
      <c r="R814" s="13"/>
      <c r="S814" s="13"/>
      <c r="T814" s="13"/>
      <c r="V814" s="13"/>
    </row>
    <row r="815" spans="13:22" ht="12.5">
      <c r="M815" s="13"/>
      <c r="R815" s="13"/>
      <c r="S815" s="13"/>
      <c r="T815" s="13"/>
      <c r="V815" s="13"/>
    </row>
    <row r="816" spans="13:22" ht="12.5">
      <c r="M816" s="13"/>
      <c r="R816" s="13"/>
      <c r="S816" s="13"/>
      <c r="T816" s="13"/>
      <c r="V816" s="13"/>
    </row>
    <row r="817" spans="13:22" ht="12.5">
      <c r="M817" s="13"/>
      <c r="R817" s="13"/>
      <c r="S817" s="13"/>
      <c r="T817" s="13"/>
      <c r="V817" s="13"/>
    </row>
    <row r="818" spans="13:22" ht="12.5">
      <c r="M818" s="13"/>
      <c r="R818" s="13"/>
      <c r="S818" s="13"/>
      <c r="T818" s="13"/>
      <c r="V818" s="13"/>
    </row>
    <row r="819" spans="13:22" ht="12.5">
      <c r="M819" s="13"/>
      <c r="R819" s="13"/>
      <c r="S819" s="13"/>
      <c r="T819" s="13"/>
      <c r="V819" s="13"/>
    </row>
    <row r="820" spans="13:22" ht="12.5">
      <c r="M820" s="13"/>
      <c r="R820" s="13"/>
      <c r="S820" s="13"/>
      <c r="T820" s="13"/>
      <c r="V820" s="13"/>
    </row>
    <row r="821" spans="13:22" ht="12.5">
      <c r="M821" s="13"/>
      <c r="R821" s="13"/>
      <c r="S821" s="13"/>
      <c r="T821" s="13"/>
      <c r="V821" s="13"/>
    </row>
    <row r="822" spans="13:22" ht="12.5">
      <c r="M822" s="13"/>
      <c r="R822" s="13"/>
      <c r="S822" s="13"/>
      <c r="T822" s="13"/>
      <c r="V822" s="13"/>
    </row>
    <row r="823" spans="13:22" ht="12.5">
      <c r="M823" s="13"/>
      <c r="R823" s="13"/>
      <c r="S823" s="13"/>
      <c r="T823" s="13"/>
      <c r="V823" s="13"/>
    </row>
    <row r="824" spans="13:22" ht="12.5">
      <c r="M824" s="13"/>
      <c r="R824" s="13"/>
      <c r="S824" s="13"/>
      <c r="T824" s="13"/>
      <c r="V824" s="13"/>
    </row>
    <row r="825" spans="13:22" ht="12.5">
      <c r="M825" s="13"/>
      <c r="R825" s="13"/>
      <c r="S825" s="13"/>
      <c r="T825" s="13"/>
      <c r="V825" s="13"/>
    </row>
    <row r="826" spans="13:22" ht="12.5">
      <c r="M826" s="13"/>
      <c r="R826" s="13"/>
      <c r="S826" s="13"/>
      <c r="T826" s="13"/>
      <c r="V826" s="13"/>
    </row>
    <row r="827" spans="13:22" ht="12.5">
      <c r="M827" s="13"/>
      <c r="R827" s="13"/>
      <c r="S827" s="13"/>
      <c r="T827" s="13"/>
      <c r="V827" s="13"/>
    </row>
    <row r="828" spans="13:22" ht="12.5">
      <c r="M828" s="13"/>
      <c r="R828" s="13"/>
      <c r="S828" s="13"/>
      <c r="T828" s="13"/>
      <c r="V828" s="13"/>
    </row>
    <row r="829" spans="13:22" ht="12.5">
      <c r="M829" s="13"/>
      <c r="R829" s="13"/>
      <c r="S829" s="13"/>
      <c r="T829" s="13"/>
      <c r="V829" s="13"/>
    </row>
    <row r="830" spans="13:22" ht="12.5">
      <c r="M830" s="13"/>
      <c r="R830" s="13"/>
      <c r="S830" s="13"/>
      <c r="T830" s="13"/>
      <c r="V830" s="13"/>
    </row>
    <row r="831" spans="13:22" ht="12.5">
      <c r="M831" s="13"/>
      <c r="R831" s="13"/>
      <c r="S831" s="13"/>
      <c r="T831" s="13"/>
      <c r="V831" s="13"/>
    </row>
    <row r="832" spans="13:22" ht="12.5">
      <c r="M832" s="13"/>
      <c r="R832" s="13"/>
      <c r="S832" s="13"/>
      <c r="T832" s="13"/>
      <c r="V832" s="13"/>
    </row>
    <row r="833" spans="13:22" ht="12.5">
      <c r="M833" s="13"/>
      <c r="R833" s="13"/>
      <c r="S833" s="13"/>
      <c r="T833" s="13"/>
      <c r="V833" s="13"/>
    </row>
    <row r="834" spans="13:22" ht="12.5">
      <c r="M834" s="13"/>
      <c r="R834" s="13"/>
      <c r="S834" s="13"/>
      <c r="T834" s="13"/>
      <c r="V834" s="13"/>
    </row>
    <row r="835" spans="13:22" ht="12.5">
      <c r="M835" s="13"/>
      <c r="R835" s="13"/>
      <c r="S835" s="13"/>
      <c r="T835" s="13"/>
      <c r="V835" s="13"/>
    </row>
    <row r="836" spans="13:22" ht="12.5">
      <c r="M836" s="13"/>
      <c r="R836" s="13"/>
      <c r="S836" s="13"/>
      <c r="T836" s="13"/>
      <c r="V836" s="13"/>
    </row>
    <row r="837" spans="13:22" ht="12.5">
      <c r="M837" s="13"/>
      <c r="R837" s="13"/>
      <c r="S837" s="13"/>
      <c r="T837" s="13"/>
      <c r="V837" s="13"/>
    </row>
    <row r="838" spans="13:22" ht="12.5">
      <c r="M838" s="13"/>
      <c r="R838" s="13"/>
      <c r="S838" s="13"/>
      <c r="T838" s="13"/>
      <c r="V838" s="13"/>
    </row>
    <row r="839" spans="13:22" ht="12.5">
      <c r="M839" s="13"/>
      <c r="R839" s="13"/>
      <c r="S839" s="13"/>
      <c r="T839" s="13"/>
      <c r="V839" s="13"/>
    </row>
    <row r="840" spans="13:22" ht="12.5">
      <c r="M840" s="13"/>
      <c r="R840" s="13"/>
      <c r="S840" s="13"/>
      <c r="T840" s="13"/>
      <c r="V840" s="13"/>
    </row>
    <row r="841" spans="13:22" ht="12.5">
      <c r="M841" s="13"/>
      <c r="R841" s="13"/>
      <c r="S841" s="13"/>
      <c r="T841" s="13"/>
      <c r="V841" s="13"/>
    </row>
    <row r="842" spans="13:22" ht="12.5">
      <c r="M842" s="13"/>
      <c r="R842" s="13"/>
      <c r="S842" s="13"/>
      <c r="T842" s="13"/>
      <c r="V842" s="13"/>
    </row>
    <row r="843" spans="13:22" ht="12.5">
      <c r="M843" s="13"/>
      <c r="R843" s="13"/>
      <c r="S843" s="13"/>
      <c r="T843" s="13"/>
      <c r="V843" s="13"/>
    </row>
    <row r="844" spans="13:22" ht="12.5">
      <c r="M844" s="13"/>
      <c r="R844" s="13"/>
      <c r="S844" s="13"/>
      <c r="T844" s="13"/>
      <c r="V844" s="13"/>
    </row>
    <row r="845" spans="13:22" ht="12.5">
      <c r="M845" s="13"/>
      <c r="R845" s="13"/>
      <c r="S845" s="13"/>
      <c r="T845" s="13"/>
      <c r="V845" s="13"/>
    </row>
    <row r="846" spans="13:22" ht="12.5">
      <c r="M846" s="13"/>
      <c r="R846" s="13"/>
      <c r="S846" s="13"/>
      <c r="T846" s="13"/>
      <c r="V846" s="13"/>
    </row>
    <row r="847" spans="13:22" ht="12.5">
      <c r="M847" s="13"/>
      <c r="R847" s="13"/>
      <c r="S847" s="13"/>
      <c r="T847" s="13"/>
      <c r="V847" s="13"/>
    </row>
    <row r="848" spans="13:22" ht="12.5">
      <c r="M848" s="13"/>
      <c r="R848" s="13"/>
      <c r="S848" s="13"/>
      <c r="T848" s="13"/>
      <c r="V848" s="13"/>
    </row>
    <row r="849" spans="13:22" ht="12.5">
      <c r="M849" s="13"/>
      <c r="R849" s="13"/>
      <c r="S849" s="13"/>
      <c r="T849" s="13"/>
      <c r="V849" s="13"/>
    </row>
    <row r="850" spans="13:22" ht="12.5">
      <c r="M850" s="13"/>
      <c r="R850" s="13"/>
      <c r="S850" s="13"/>
      <c r="T850" s="13"/>
      <c r="V850" s="13"/>
    </row>
    <row r="851" spans="13:22" ht="12.5">
      <c r="M851" s="13"/>
      <c r="R851" s="13"/>
      <c r="S851" s="13"/>
      <c r="T851" s="13"/>
      <c r="V851" s="13"/>
    </row>
    <row r="852" spans="13:22" ht="12.5">
      <c r="M852" s="13"/>
      <c r="R852" s="13"/>
      <c r="S852" s="13"/>
      <c r="T852" s="13"/>
      <c r="V852" s="13"/>
    </row>
    <row r="853" spans="13:22" ht="12.5">
      <c r="M853" s="13"/>
      <c r="R853" s="13"/>
      <c r="S853" s="13"/>
      <c r="T853" s="13"/>
      <c r="V853" s="13"/>
    </row>
    <row r="854" spans="13:22" ht="12.5">
      <c r="M854" s="13"/>
      <c r="R854" s="13"/>
      <c r="S854" s="13"/>
      <c r="T854" s="13"/>
      <c r="V854" s="13"/>
    </row>
    <row r="855" spans="13:22" ht="12.5">
      <c r="M855" s="13"/>
      <c r="R855" s="13"/>
      <c r="S855" s="13"/>
      <c r="T855" s="13"/>
      <c r="V855" s="13"/>
    </row>
    <row r="856" spans="13:22" ht="12.5">
      <c r="M856" s="13"/>
      <c r="R856" s="13"/>
      <c r="S856" s="13"/>
      <c r="T856" s="13"/>
      <c r="V856" s="13"/>
    </row>
    <row r="857" spans="13:22" ht="12.5">
      <c r="M857" s="13"/>
      <c r="R857" s="13"/>
      <c r="S857" s="13"/>
      <c r="T857" s="13"/>
      <c r="V857" s="13"/>
    </row>
    <row r="858" spans="13:22" ht="12.5">
      <c r="M858" s="13"/>
      <c r="R858" s="13"/>
      <c r="S858" s="13"/>
      <c r="T858" s="13"/>
      <c r="V858" s="13"/>
    </row>
    <row r="859" spans="13:22" ht="12.5">
      <c r="M859" s="13"/>
      <c r="R859" s="13"/>
      <c r="S859" s="13"/>
      <c r="T859" s="13"/>
      <c r="V859" s="13"/>
    </row>
    <row r="860" spans="13:22" ht="12.5">
      <c r="M860" s="13"/>
      <c r="R860" s="13"/>
      <c r="S860" s="13"/>
      <c r="T860" s="13"/>
      <c r="V860" s="13"/>
    </row>
    <row r="861" spans="13:22" ht="12.5">
      <c r="M861" s="13"/>
      <c r="R861" s="13"/>
      <c r="S861" s="13"/>
      <c r="T861" s="13"/>
      <c r="V861" s="13"/>
    </row>
    <row r="862" spans="13:22" ht="12.5">
      <c r="M862" s="13"/>
      <c r="R862" s="13"/>
      <c r="S862" s="13"/>
      <c r="T862" s="13"/>
      <c r="V862" s="13"/>
    </row>
    <row r="863" spans="13:22" ht="12.5">
      <c r="M863" s="13"/>
      <c r="R863" s="13"/>
      <c r="S863" s="13"/>
      <c r="T863" s="13"/>
      <c r="V863" s="13"/>
    </row>
    <row r="864" spans="13:22" ht="12.5">
      <c r="M864" s="13"/>
      <c r="R864" s="13"/>
      <c r="S864" s="13"/>
      <c r="T864" s="13"/>
      <c r="V864" s="13"/>
    </row>
    <row r="865" spans="13:22" ht="12.5">
      <c r="M865" s="13"/>
      <c r="R865" s="13"/>
      <c r="S865" s="13"/>
      <c r="T865" s="13"/>
      <c r="V865" s="13"/>
    </row>
    <row r="866" spans="13:22" ht="12.5">
      <c r="M866" s="13"/>
      <c r="R866" s="13"/>
      <c r="S866" s="13"/>
      <c r="T866" s="13"/>
      <c r="V866" s="13"/>
    </row>
    <row r="867" spans="13:22" ht="12.5">
      <c r="M867" s="13"/>
      <c r="R867" s="13"/>
      <c r="S867" s="13"/>
      <c r="T867" s="13"/>
      <c r="V867" s="13"/>
    </row>
    <row r="868" spans="13:22" ht="12.5">
      <c r="M868" s="13"/>
      <c r="R868" s="13"/>
      <c r="S868" s="13"/>
      <c r="T868" s="13"/>
      <c r="V868" s="13"/>
    </row>
    <row r="869" spans="13:22" ht="12.5">
      <c r="M869" s="13"/>
      <c r="R869" s="13"/>
      <c r="S869" s="13"/>
      <c r="T869" s="13"/>
      <c r="V869" s="13"/>
    </row>
    <row r="870" spans="13:22" ht="12.5">
      <c r="M870" s="13"/>
      <c r="R870" s="13"/>
      <c r="S870" s="13"/>
      <c r="T870" s="13"/>
      <c r="V870" s="13"/>
    </row>
    <row r="871" spans="13:22" ht="12.5">
      <c r="M871" s="13"/>
      <c r="R871" s="13"/>
      <c r="S871" s="13"/>
      <c r="T871" s="13"/>
      <c r="V871" s="13"/>
    </row>
    <row r="872" spans="13:22" ht="12.5">
      <c r="M872" s="13"/>
      <c r="R872" s="13"/>
      <c r="S872" s="13"/>
      <c r="T872" s="13"/>
      <c r="V872" s="13"/>
    </row>
    <row r="873" spans="13:22" ht="12.5">
      <c r="M873" s="13"/>
      <c r="R873" s="13"/>
      <c r="S873" s="13"/>
      <c r="T873" s="13"/>
      <c r="V873" s="13"/>
    </row>
    <row r="874" spans="13:22" ht="12.5">
      <c r="M874" s="13"/>
      <c r="R874" s="13"/>
      <c r="S874" s="13"/>
      <c r="T874" s="13"/>
      <c r="V874" s="13"/>
    </row>
    <row r="875" spans="13:22" ht="12.5">
      <c r="M875" s="13"/>
      <c r="R875" s="13"/>
      <c r="S875" s="13"/>
      <c r="T875" s="13"/>
      <c r="V875" s="13"/>
    </row>
    <row r="876" spans="13:22" ht="12.5">
      <c r="M876" s="13"/>
      <c r="R876" s="13"/>
      <c r="S876" s="13"/>
      <c r="T876" s="13"/>
      <c r="V876" s="13"/>
    </row>
    <row r="877" spans="13:22" ht="12.5">
      <c r="M877" s="13"/>
      <c r="R877" s="13"/>
      <c r="S877" s="13"/>
      <c r="T877" s="13"/>
      <c r="V877" s="13"/>
    </row>
    <row r="878" spans="13:22" ht="12.5">
      <c r="M878" s="13"/>
      <c r="R878" s="13"/>
      <c r="S878" s="13"/>
      <c r="T878" s="13"/>
      <c r="V878" s="13"/>
    </row>
    <row r="879" spans="13:22" ht="12.5">
      <c r="M879" s="13"/>
      <c r="R879" s="13"/>
      <c r="S879" s="13"/>
      <c r="T879" s="13"/>
      <c r="V879" s="13"/>
    </row>
    <row r="880" spans="13:22" ht="12.5">
      <c r="M880" s="13"/>
      <c r="R880" s="13"/>
      <c r="S880" s="13"/>
      <c r="T880" s="13"/>
      <c r="V880" s="13"/>
    </row>
    <row r="881" spans="13:22" ht="12.5">
      <c r="M881" s="13"/>
      <c r="R881" s="13"/>
      <c r="S881" s="13"/>
      <c r="T881" s="13"/>
      <c r="V881" s="13"/>
    </row>
    <row r="882" spans="13:22" ht="12.5">
      <c r="M882" s="13"/>
      <c r="R882" s="13"/>
      <c r="S882" s="13"/>
      <c r="T882" s="13"/>
      <c r="V882" s="13"/>
    </row>
    <row r="883" spans="13:22" ht="12.5">
      <c r="M883" s="13"/>
      <c r="R883" s="13"/>
      <c r="S883" s="13"/>
      <c r="T883" s="13"/>
      <c r="V883" s="13"/>
    </row>
    <row r="884" spans="13:22" ht="12.5">
      <c r="M884" s="13"/>
      <c r="R884" s="13"/>
      <c r="S884" s="13"/>
      <c r="T884" s="13"/>
      <c r="V884" s="13"/>
    </row>
    <row r="885" spans="13:22" ht="12.5">
      <c r="M885" s="13"/>
      <c r="R885" s="13"/>
      <c r="S885" s="13"/>
      <c r="T885" s="13"/>
      <c r="V885" s="13"/>
    </row>
    <row r="886" spans="13:22" ht="12.5">
      <c r="M886" s="13"/>
      <c r="R886" s="13"/>
      <c r="S886" s="13"/>
      <c r="T886" s="13"/>
      <c r="V886" s="13"/>
    </row>
    <row r="887" spans="13:22" ht="12.5">
      <c r="M887" s="13"/>
      <c r="R887" s="13"/>
      <c r="S887" s="13"/>
      <c r="T887" s="13"/>
      <c r="V887" s="13"/>
    </row>
    <row r="888" spans="13:22" ht="12.5">
      <c r="M888" s="13"/>
      <c r="R888" s="13"/>
      <c r="S888" s="13"/>
      <c r="T888" s="13"/>
      <c r="V888" s="13"/>
    </row>
    <row r="889" spans="13:22" ht="12.5">
      <c r="M889" s="13"/>
      <c r="R889" s="13"/>
      <c r="S889" s="13"/>
      <c r="T889" s="13"/>
      <c r="V889" s="13"/>
    </row>
    <row r="890" spans="13:22" ht="12.5">
      <c r="M890" s="13"/>
      <c r="R890" s="13"/>
      <c r="S890" s="13"/>
      <c r="T890" s="13"/>
      <c r="V890" s="13"/>
    </row>
    <row r="891" spans="13:22" ht="12.5">
      <c r="M891" s="13"/>
      <c r="R891" s="13"/>
      <c r="S891" s="13"/>
      <c r="T891" s="13"/>
      <c r="V891" s="13"/>
    </row>
    <row r="892" spans="13:22" ht="12.5">
      <c r="M892" s="13"/>
      <c r="R892" s="13"/>
      <c r="S892" s="13"/>
      <c r="T892" s="13"/>
      <c r="V892" s="13"/>
    </row>
    <row r="893" spans="13:22" ht="12.5">
      <c r="M893" s="13"/>
      <c r="R893" s="13"/>
      <c r="S893" s="13"/>
      <c r="T893" s="13"/>
      <c r="V893" s="13"/>
    </row>
    <row r="894" spans="13:22" ht="12.5">
      <c r="M894" s="13"/>
      <c r="R894" s="13"/>
      <c r="S894" s="13"/>
      <c r="T894" s="13"/>
      <c r="V894" s="13"/>
    </row>
    <row r="895" spans="13:22" ht="12.5">
      <c r="M895" s="13"/>
      <c r="R895" s="13"/>
      <c r="S895" s="13"/>
      <c r="T895" s="13"/>
      <c r="V895" s="13"/>
    </row>
    <row r="896" spans="13:22" ht="12.5">
      <c r="M896" s="13"/>
      <c r="R896" s="13"/>
      <c r="S896" s="13"/>
      <c r="T896" s="13"/>
      <c r="V896" s="13"/>
    </row>
    <row r="897" spans="13:22" ht="12.5">
      <c r="M897" s="13"/>
      <c r="R897" s="13"/>
      <c r="S897" s="13"/>
      <c r="T897" s="13"/>
      <c r="V897" s="13"/>
    </row>
    <row r="898" spans="13:22" ht="12.5">
      <c r="M898" s="13"/>
      <c r="R898" s="13"/>
      <c r="S898" s="13"/>
      <c r="T898" s="13"/>
      <c r="V898" s="13"/>
    </row>
    <row r="899" spans="13:22" ht="12.5">
      <c r="M899" s="13"/>
      <c r="R899" s="13"/>
      <c r="S899" s="13"/>
      <c r="T899" s="13"/>
      <c r="V899" s="13"/>
    </row>
    <row r="900" spans="13:22" ht="12.5">
      <c r="M900" s="13"/>
      <c r="R900" s="13"/>
      <c r="S900" s="13"/>
      <c r="T900" s="13"/>
      <c r="V900" s="13"/>
    </row>
    <row r="901" spans="13:22" ht="12.5">
      <c r="M901" s="13"/>
      <c r="R901" s="13"/>
      <c r="S901" s="13"/>
      <c r="T901" s="13"/>
      <c r="V901" s="13"/>
    </row>
    <row r="902" spans="13:22" ht="12.5">
      <c r="M902" s="13"/>
      <c r="R902" s="13"/>
      <c r="S902" s="13"/>
      <c r="T902" s="13"/>
      <c r="V902" s="13"/>
    </row>
    <row r="903" spans="13:22" ht="12.5">
      <c r="M903" s="13"/>
      <c r="R903" s="13"/>
      <c r="S903" s="13"/>
      <c r="T903" s="13"/>
      <c r="V903" s="13"/>
    </row>
    <row r="904" spans="13:22" ht="12.5">
      <c r="M904" s="13"/>
      <c r="R904" s="13"/>
      <c r="S904" s="13"/>
      <c r="T904" s="13"/>
      <c r="V904" s="13"/>
    </row>
    <row r="905" spans="13:22" ht="12.5">
      <c r="M905" s="13"/>
      <c r="R905" s="13"/>
      <c r="S905" s="13"/>
      <c r="T905" s="13"/>
      <c r="V905" s="13"/>
    </row>
    <row r="906" spans="13:22" ht="12.5">
      <c r="M906" s="13"/>
      <c r="R906" s="13"/>
      <c r="S906" s="13"/>
      <c r="T906" s="13"/>
      <c r="V906" s="13"/>
    </row>
    <row r="907" spans="13:22" ht="12.5">
      <c r="M907" s="13"/>
      <c r="R907" s="13"/>
      <c r="S907" s="13"/>
      <c r="T907" s="13"/>
      <c r="V907" s="13"/>
    </row>
    <row r="908" spans="13:22" ht="12.5">
      <c r="M908" s="13"/>
      <c r="R908" s="13"/>
      <c r="S908" s="13"/>
      <c r="T908" s="13"/>
      <c r="V908" s="13"/>
    </row>
    <row r="909" spans="13:22" ht="12.5">
      <c r="M909" s="13"/>
      <c r="R909" s="13"/>
      <c r="S909" s="13"/>
      <c r="T909" s="13"/>
      <c r="V909" s="13"/>
    </row>
    <row r="910" spans="13:22" ht="12.5">
      <c r="M910" s="13"/>
      <c r="R910" s="13"/>
      <c r="S910" s="13"/>
      <c r="T910" s="13"/>
      <c r="V910" s="13"/>
    </row>
    <row r="911" spans="13:22" ht="12.5">
      <c r="M911" s="13"/>
      <c r="R911" s="13"/>
      <c r="S911" s="13"/>
      <c r="T911" s="13"/>
      <c r="V911" s="13"/>
    </row>
    <row r="912" spans="13:22" ht="12.5">
      <c r="M912" s="13"/>
      <c r="R912" s="13"/>
      <c r="S912" s="13"/>
      <c r="T912" s="13"/>
      <c r="V912" s="13"/>
    </row>
    <row r="913" spans="13:22" ht="12.5">
      <c r="M913" s="13"/>
      <c r="R913" s="13"/>
      <c r="S913" s="13"/>
      <c r="T913" s="13"/>
      <c r="V913" s="13"/>
    </row>
    <row r="914" spans="13:22" ht="12.5">
      <c r="M914" s="13"/>
      <c r="R914" s="13"/>
      <c r="S914" s="13"/>
      <c r="T914" s="13"/>
      <c r="V914" s="13"/>
    </row>
    <row r="915" spans="13:22" ht="12.5">
      <c r="M915" s="13"/>
      <c r="R915" s="13"/>
      <c r="S915" s="13"/>
      <c r="T915" s="13"/>
      <c r="V915" s="13"/>
    </row>
    <row r="916" spans="13:22" ht="12.5">
      <c r="M916" s="13"/>
      <c r="R916" s="13"/>
      <c r="S916" s="13"/>
      <c r="T916" s="13"/>
      <c r="V916" s="13"/>
    </row>
    <row r="917" spans="13:22" ht="12.5">
      <c r="M917" s="13"/>
      <c r="R917" s="13"/>
      <c r="S917" s="13"/>
      <c r="T917" s="13"/>
      <c r="V917" s="13"/>
    </row>
    <row r="918" spans="13:22" ht="12.5">
      <c r="M918" s="13"/>
      <c r="R918" s="13"/>
      <c r="S918" s="13"/>
      <c r="T918" s="13"/>
      <c r="V918" s="13"/>
    </row>
    <row r="919" spans="13:22" ht="12.5">
      <c r="M919" s="13"/>
      <c r="R919" s="13"/>
      <c r="S919" s="13"/>
      <c r="T919" s="13"/>
      <c r="V919" s="13"/>
    </row>
    <row r="920" spans="13:22" ht="12.5">
      <c r="M920" s="13"/>
      <c r="R920" s="13"/>
      <c r="S920" s="13"/>
      <c r="T920" s="13"/>
      <c r="V920" s="13"/>
    </row>
    <row r="921" spans="13:22" ht="12.5">
      <c r="M921" s="13"/>
      <c r="R921" s="13"/>
      <c r="S921" s="13"/>
      <c r="T921" s="13"/>
      <c r="V921" s="13"/>
    </row>
    <row r="922" spans="13:22" ht="12.5">
      <c r="M922" s="13"/>
      <c r="R922" s="13"/>
      <c r="S922" s="13"/>
      <c r="T922" s="13"/>
      <c r="V922" s="13"/>
    </row>
    <row r="923" spans="13:22" ht="12.5">
      <c r="M923" s="13"/>
      <c r="R923" s="13"/>
      <c r="S923" s="13"/>
      <c r="T923" s="13"/>
      <c r="V923" s="13"/>
    </row>
    <row r="924" spans="13:22" ht="12.5">
      <c r="M924" s="13"/>
      <c r="R924" s="13"/>
      <c r="S924" s="13"/>
      <c r="T924" s="13"/>
      <c r="V924" s="13"/>
    </row>
    <row r="925" spans="13:22" ht="12.5">
      <c r="M925" s="13"/>
      <c r="R925" s="13"/>
      <c r="S925" s="13"/>
      <c r="T925" s="13"/>
      <c r="V925" s="13"/>
    </row>
    <row r="926" spans="13:22" ht="12.5">
      <c r="M926" s="13"/>
      <c r="R926" s="13"/>
      <c r="S926" s="13"/>
      <c r="T926" s="13"/>
      <c r="V926" s="13"/>
    </row>
    <row r="927" spans="13:22" ht="12.5">
      <c r="M927" s="13"/>
      <c r="R927" s="13"/>
      <c r="S927" s="13"/>
      <c r="T927" s="13"/>
      <c r="V927" s="13"/>
    </row>
    <row r="928" spans="13:22" ht="12.5">
      <c r="M928" s="13"/>
      <c r="R928" s="13"/>
      <c r="S928" s="13"/>
      <c r="T928" s="13"/>
      <c r="V928" s="13"/>
    </row>
    <row r="929" spans="13:22" ht="12.5">
      <c r="M929" s="13"/>
      <c r="R929" s="13"/>
      <c r="S929" s="13"/>
      <c r="T929" s="13"/>
      <c r="V929" s="13"/>
    </row>
    <row r="930" spans="13:22" ht="12.5">
      <c r="M930" s="13"/>
      <c r="R930" s="13"/>
      <c r="S930" s="13"/>
      <c r="T930" s="13"/>
      <c r="V930" s="13"/>
    </row>
    <row r="931" spans="13:22" ht="12.5">
      <c r="M931" s="13"/>
      <c r="R931" s="13"/>
      <c r="S931" s="13"/>
      <c r="T931" s="13"/>
      <c r="V931" s="13"/>
    </row>
    <row r="932" spans="13:22" ht="12.5">
      <c r="M932" s="13"/>
      <c r="R932" s="13"/>
      <c r="S932" s="13"/>
      <c r="T932" s="13"/>
      <c r="V932" s="13"/>
    </row>
    <row r="933" spans="13:22" ht="12.5">
      <c r="M933" s="13"/>
      <c r="R933" s="13"/>
      <c r="S933" s="13"/>
      <c r="T933" s="13"/>
      <c r="V933" s="13"/>
    </row>
    <row r="934" spans="13:22" ht="12.5">
      <c r="M934" s="13"/>
      <c r="R934" s="13"/>
      <c r="S934" s="13"/>
      <c r="T934" s="13"/>
      <c r="V934" s="13"/>
    </row>
    <row r="935" spans="13:22" ht="12.5">
      <c r="M935" s="13"/>
      <c r="R935" s="13"/>
      <c r="S935" s="13"/>
      <c r="T935" s="13"/>
      <c r="V935" s="13"/>
    </row>
    <row r="936" spans="13:22" ht="12.5">
      <c r="M936" s="13"/>
      <c r="R936" s="13"/>
      <c r="S936" s="13"/>
      <c r="T936" s="13"/>
      <c r="V936" s="13"/>
    </row>
    <row r="937" spans="13:22" ht="12.5">
      <c r="M937" s="13"/>
      <c r="R937" s="13"/>
      <c r="S937" s="13"/>
      <c r="T937" s="13"/>
      <c r="V937" s="13"/>
    </row>
    <row r="938" spans="13:22" ht="12.5">
      <c r="M938" s="13"/>
      <c r="R938" s="13"/>
      <c r="S938" s="13"/>
      <c r="T938" s="13"/>
      <c r="V938" s="13"/>
    </row>
    <row r="939" spans="13:22" ht="12.5">
      <c r="M939" s="13"/>
      <c r="R939" s="13"/>
      <c r="S939" s="13"/>
      <c r="T939" s="13"/>
      <c r="V939" s="13"/>
    </row>
    <row r="940" spans="13:22" ht="12.5">
      <c r="M940" s="13"/>
      <c r="R940" s="13"/>
      <c r="S940" s="13"/>
      <c r="T940" s="13"/>
      <c r="V940" s="13"/>
    </row>
    <row r="941" spans="13:22" ht="12.5">
      <c r="M941" s="13"/>
      <c r="R941" s="13"/>
      <c r="S941" s="13"/>
      <c r="T941" s="13"/>
      <c r="V941" s="13"/>
    </row>
    <row r="942" spans="13:22" ht="12.5">
      <c r="M942" s="13"/>
      <c r="R942" s="13"/>
      <c r="S942" s="13"/>
      <c r="T942" s="13"/>
      <c r="V942" s="13"/>
    </row>
    <row r="943" spans="13:22" ht="12.5">
      <c r="M943" s="13"/>
      <c r="R943" s="13"/>
      <c r="S943" s="13"/>
      <c r="T943" s="13"/>
      <c r="V943" s="13"/>
    </row>
    <row r="944" spans="13:22" ht="12.5">
      <c r="M944" s="13"/>
      <c r="R944" s="13"/>
      <c r="S944" s="13"/>
      <c r="T944" s="13"/>
      <c r="V944" s="13"/>
    </row>
    <row r="945" spans="13:22" ht="12.5">
      <c r="M945" s="13"/>
      <c r="R945" s="13"/>
      <c r="S945" s="13"/>
      <c r="T945" s="13"/>
      <c r="V945" s="13"/>
    </row>
    <row r="946" spans="13:22" ht="12.5">
      <c r="M946" s="13"/>
      <c r="R946" s="13"/>
      <c r="S946" s="13"/>
      <c r="T946" s="13"/>
      <c r="V946" s="13"/>
    </row>
    <row r="947" spans="13:22" ht="12.5">
      <c r="M947" s="13"/>
      <c r="R947" s="13"/>
      <c r="S947" s="13"/>
      <c r="T947" s="13"/>
      <c r="V947" s="13"/>
    </row>
    <row r="948" spans="13:22" ht="12.5">
      <c r="M948" s="13"/>
      <c r="R948" s="13"/>
      <c r="S948" s="13"/>
      <c r="T948" s="13"/>
      <c r="V948" s="13"/>
    </row>
    <row r="949" spans="13:22" ht="12.5">
      <c r="M949" s="13"/>
      <c r="R949" s="13"/>
      <c r="S949" s="13"/>
      <c r="T949" s="13"/>
      <c r="V949" s="13"/>
    </row>
    <row r="950" spans="13:22" ht="12.5">
      <c r="M950" s="13"/>
      <c r="R950" s="13"/>
      <c r="S950" s="13"/>
      <c r="T950" s="13"/>
      <c r="V950" s="13"/>
    </row>
    <row r="951" spans="13:22" ht="12.5">
      <c r="M951" s="13"/>
      <c r="R951" s="13"/>
      <c r="S951" s="13"/>
      <c r="T951" s="13"/>
      <c r="V951" s="13"/>
    </row>
    <row r="952" spans="13:22" ht="12.5">
      <c r="M952" s="13"/>
      <c r="R952" s="13"/>
      <c r="S952" s="13"/>
      <c r="T952" s="13"/>
      <c r="V952" s="13"/>
    </row>
    <row r="953" spans="13:22" ht="12.5">
      <c r="M953" s="13"/>
      <c r="R953" s="13"/>
      <c r="S953" s="13"/>
      <c r="T953" s="13"/>
      <c r="V953" s="13"/>
    </row>
    <row r="954" spans="13:22" ht="12.5">
      <c r="M954" s="13"/>
      <c r="R954" s="13"/>
      <c r="S954" s="13"/>
      <c r="T954" s="13"/>
      <c r="V954" s="13"/>
    </row>
    <row r="955" spans="13:22" ht="12.5">
      <c r="M955" s="13"/>
      <c r="R955" s="13"/>
      <c r="S955" s="13"/>
      <c r="T955" s="13"/>
      <c r="V955" s="13"/>
    </row>
    <row r="956" spans="13:22" ht="12.5">
      <c r="M956" s="13"/>
      <c r="R956" s="13"/>
      <c r="S956" s="13"/>
      <c r="T956" s="13"/>
      <c r="V956" s="13"/>
    </row>
    <row r="957" spans="13:22" ht="12.5">
      <c r="M957" s="13"/>
      <c r="R957" s="13"/>
      <c r="S957" s="13"/>
      <c r="T957" s="13"/>
      <c r="V957" s="13"/>
    </row>
    <row r="958" spans="13:22" ht="12.5">
      <c r="M958" s="13"/>
      <c r="R958" s="13"/>
      <c r="S958" s="13"/>
      <c r="T958" s="13"/>
      <c r="V958" s="13"/>
    </row>
    <row r="959" spans="13:22" ht="12.5">
      <c r="M959" s="13"/>
      <c r="R959" s="13"/>
      <c r="S959" s="13"/>
      <c r="T959" s="13"/>
      <c r="V959" s="13"/>
    </row>
    <row r="960" spans="13:22" ht="12.5">
      <c r="M960" s="13"/>
      <c r="R960" s="13"/>
      <c r="S960" s="13"/>
      <c r="T960" s="13"/>
      <c r="V960" s="13"/>
    </row>
    <row r="961" spans="13:22" ht="12.5">
      <c r="M961" s="13"/>
      <c r="R961" s="13"/>
      <c r="S961" s="13"/>
      <c r="T961" s="13"/>
      <c r="V961" s="13"/>
    </row>
    <row r="962" spans="13:22" ht="12.5">
      <c r="M962" s="13"/>
      <c r="R962" s="13"/>
      <c r="S962" s="13"/>
      <c r="T962" s="13"/>
      <c r="V962" s="13"/>
    </row>
    <row r="963" spans="13:22" ht="12.5">
      <c r="M963" s="13"/>
      <c r="R963" s="13"/>
      <c r="S963" s="13"/>
      <c r="T963" s="13"/>
      <c r="V963" s="13"/>
    </row>
    <row r="964" spans="13:22" ht="12.5">
      <c r="M964" s="13"/>
      <c r="R964" s="13"/>
      <c r="S964" s="13"/>
      <c r="T964" s="13"/>
      <c r="V964" s="13"/>
    </row>
    <row r="965" spans="13:22" ht="12.5">
      <c r="M965" s="13"/>
      <c r="R965" s="13"/>
      <c r="S965" s="13"/>
      <c r="T965" s="13"/>
      <c r="V965" s="13"/>
    </row>
    <row r="966" spans="13:22" ht="12.5">
      <c r="M966" s="13"/>
      <c r="R966" s="13"/>
      <c r="S966" s="13"/>
      <c r="T966" s="13"/>
      <c r="V966" s="13"/>
    </row>
    <row r="967" spans="13:22" ht="12.5">
      <c r="M967" s="13"/>
      <c r="R967" s="13"/>
      <c r="S967" s="13"/>
      <c r="T967" s="13"/>
      <c r="V967" s="13"/>
    </row>
    <row r="968" spans="13:22" ht="12.5">
      <c r="M968" s="13"/>
      <c r="R968" s="13"/>
      <c r="S968" s="13"/>
      <c r="T968" s="13"/>
      <c r="V968" s="13"/>
    </row>
    <row r="969" spans="13:22" ht="12.5">
      <c r="M969" s="13"/>
      <c r="R969" s="13"/>
      <c r="S969" s="13"/>
      <c r="T969" s="13"/>
      <c r="V969" s="13"/>
    </row>
    <row r="970" spans="13:22" ht="12.5">
      <c r="M970" s="13"/>
      <c r="R970" s="13"/>
      <c r="S970" s="13"/>
      <c r="T970" s="13"/>
      <c r="V970" s="13"/>
    </row>
    <row r="971" spans="13:22" ht="12.5">
      <c r="M971" s="13"/>
      <c r="R971" s="13"/>
      <c r="S971" s="13"/>
      <c r="T971" s="13"/>
      <c r="V971" s="13"/>
    </row>
    <row r="972" spans="13:22" ht="12.5">
      <c r="M972" s="13"/>
      <c r="R972" s="13"/>
      <c r="S972" s="13"/>
      <c r="T972" s="13"/>
      <c r="V972" s="13"/>
    </row>
    <row r="973" spans="13:22" ht="12.5">
      <c r="M973" s="13"/>
      <c r="R973" s="13"/>
      <c r="S973" s="13"/>
      <c r="T973" s="13"/>
      <c r="V973" s="13"/>
    </row>
    <row r="974" spans="13:22" ht="12.5">
      <c r="M974" s="13"/>
      <c r="R974" s="13"/>
      <c r="S974" s="13"/>
      <c r="T974" s="13"/>
      <c r="V974" s="13"/>
    </row>
    <row r="975" spans="13:22" ht="12.5">
      <c r="M975" s="13"/>
      <c r="R975" s="13"/>
      <c r="S975" s="13"/>
      <c r="T975" s="13"/>
      <c r="V975" s="13"/>
    </row>
    <row r="976" spans="13:22" ht="12.5">
      <c r="M976" s="13"/>
      <c r="R976" s="13"/>
      <c r="S976" s="13"/>
      <c r="T976" s="13"/>
      <c r="V976" s="13"/>
    </row>
    <row r="977" spans="13:22" ht="12.5">
      <c r="M977" s="13"/>
      <c r="R977" s="13"/>
      <c r="S977" s="13"/>
      <c r="T977" s="13"/>
      <c r="V977" s="13"/>
    </row>
    <row r="978" spans="13:22" ht="12.5">
      <c r="M978" s="13"/>
      <c r="R978" s="13"/>
      <c r="S978" s="13"/>
      <c r="T978" s="13"/>
      <c r="V978" s="13"/>
    </row>
    <row r="979" spans="13:22" ht="12.5">
      <c r="M979" s="13"/>
      <c r="R979" s="13"/>
      <c r="S979" s="13"/>
      <c r="T979" s="13"/>
      <c r="V979" s="13"/>
    </row>
    <row r="980" spans="13:22" ht="12.5">
      <c r="M980" s="13"/>
      <c r="R980" s="13"/>
      <c r="S980" s="13"/>
      <c r="T980" s="13"/>
      <c r="V980" s="13"/>
    </row>
    <row r="981" spans="13:22" ht="12.5">
      <c r="M981" s="13"/>
      <c r="R981" s="13"/>
      <c r="S981" s="13"/>
      <c r="T981" s="13"/>
      <c r="V981" s="13"/>
    </row>
    <row r="982" spans="13:22" ht="12.5">
      <c r="M982" s="13"/>
      <c r="R982" s="13"/>
      <c r="S982" s="13"/>
      <c r="T982" s="13"/>
      <c r="V982" s="13"/>
    </row>
    <row r="983" spans="13:22" ht="12.5">
      <c r="M983" s="13"/>
      <c r="R983" s="13"/>
      <c r="S983" s="13"/>
      <c r="T983" s="13"/>
      <c r="V983" s="13"/>
    </row>
    <row r="984" spans="13:22" ht="12.5">
      <c r="M984" s="13"/>
      <c r="R984" s="13"/>
      <c r="S984" s="13"/>
      <c r="T984" s="13"/>
      <c r="V984" s="13"/>
    </row>
    <row r="985" spans="13:22" ht="12.5">
      <c r="M985" s="13"/>
      <c r="R985" s="13"/>
      <c r="S985" s="13"/>
      <c r="T985" s="13"/>
      <c r="V985" s="13"/>
    </row>
    <row r="986" spans="13:22" ht="12.5">
      <c r="M986" s="13"/>
      <c r="R986" s="13"/>
      <c r="S986" s="13"/>
      <c r="T986" s="13"/>
      <c r="V986" s="13"/>
    </row>
    <row r="987" spans="13:22" ht="12.5">
      <c r="M987" s="13"/>
      <c r="R987" s="13"/>
      <c r="S987" s="13"/>
      <c r="T987" s="13"/>
      <c r="V987" s="13"/>
    </row>
    <row r="988" spans="13:22" ht="12.5">
      <c r="M988" s="13"/>
      <c r="R988" s="13"/>
      <c r="S988" s="13"/>
      <c r="T988" s="13"/>
      <c r="V988" s="13"/>
    </row>
    <row r="989" spans="13:22" ht="12.5">
      <c r="M989" s="13"/>
      <c r="R989" s="13"/>
      <c r="S989" s="13"/>
      <c r="T989" s="13"/>
      <c r="V989" s="13"/>
    </row>
    <row r="990" spans="13:22" ht="12.5">
      <c r="M990" s="13"/>
      <c r="R990" s="13"/>
      <c r="S990" s="13"/>
      <c r="T990" s="13"/>
      <c r="V990" s="13"/>
    </row>
    <row r="991" spans="13:22" ht="12.5">
      <c r="M991" s="13"/>
      <c r="R991" s="13"/>
      <c r="S991" s="13"/>
      <c r="T991" s="13"/>
      <c r="V991" s="13"/>
    </row>
    <row r="992" spans="13:22" ht="12.5">
      <c r="M992" s="13"/>
      <c r="R992" s="13"/>
      <c r="S992" s="13"/>
      <c r="T992" s="13"/>
      <c r="V992" s="13"/>
    </row>
    <row r="993" spans="13:22" ht="12.5">
      <c r="M993" s="13"/>
      <c r="R993" s="13"/>
      <c r="S993" s="13"/>
      <c r="T993" s="13"/>
      <c r="V993" s="13"/>
    </row>
    <row r="994" spans="13:22" ht="12.5">
      <c r="M994" s="13"/>
      <c r="R994" s="13"/>
      <c r="S994" s="13"/>
      <c r="T994" s="13"/>
      <c r="V994" s="13"/>
    </row>
    <row r="995" spans="13:22" ht="12.5">
      <c r="M995" s="13"/>
      <c r="R995" s="13"/>
      <c r="S995" s="13"/>
      <c r="T995" s="13"/>
      <c r="V995" s="13"/>
    </row>
    <row r="996" spans="13:22" ht="12.5">
      <c r="M996" s="13"/>
      <c r="R996" s="13"/>
      <c r="S996" s="13"/>
      <c r="T996" s="13"/>
      <c r="V996" s="13"/>
    </row>
    <row r="997" spans="13:22" ht="12.5">
      <c r="M997" s="13"/>
      <c r="R997" s="13"/>
      <c r="S997" s="13"/>
      <c r="T997" s="13"/>
      <c r="V997" s="13"/>
    </row>
    <row r="998" spans="13:22" ht="12.5">
      <c r="M998" s="13"/>
      <c r="R998" s="13"/>
      <c r="S998" s="13"/>
      <c r="T998" s="13"/>
      <c r="V998" s="13"/>
    </row>
    <row r="999" spans="13:22" ht="12.5">
      <c r="M999" s="13"/>
      <c r="R999" s="13"/>
      <c r="S999" s="13"/>
      <c r="T999" s="13"/>
      <c r="V999" s="13"/>
    </row>
    <row r="1000" spans="13:22" ht="12.5">
      <c r="M1000" s="13"/>
      <c r="R1000" s="13"/>
      <c r="S1000" s="13"/>
      <c r="T1000" s="13"/>
      <c r="V1000" s="13"/>
    </row>
    <row r="1001" spans="13:22" ht="12.5">
      <c r="M1001" s="13"/>
      <c r="R1001" s="13"/>
      <c r="S1001" s="13"/>
      <c r="T1001" s="13"/>
      <c r="V1001" s="13"/>
    </row>
    <row r="1002" spans="13:22" ht="12.5">
      <c r="M1002" s="13"/>
      <c r="R1002" s="13"/>
      <c r="S1002" s="13"/>
      <c r="T1002" s="13"/>
      <c r="V1002" s="13"/>
    </row>
  </sheetData>
  <mergeCells count="1">
    <mergeCell ref="A1:E4"/>
  </mergeCells>
  <hyperlinks>
    <hyperlink ref="J7" r:id="rId1" location="item-2-2"/>
    <hyperlink ref="O7" r:id="rId2"/>
    <hyperlink ref="T7" r:id="rId3"/>
    <hyperlink ref="V7" r:id="rId4"/>
    <hyperlink ref="J8" r:id="rId5"/>
    <hyperlink ref="O8" r:id="rId6"/>
    <hyperlink ref="T8" r:id="rId7"/>
    <hyperlink ref="J9" r:id="rId8"/>
    <hyperlink ref="O9" r:id="rId9"/>
    <hyperlink ref="T9" r:id="rId10"/>
    <hyperlink ref="J10" r:id="rId11"/>
    <hyperlink ref="O10" r:id="rId12"/>
    <hyperlink ref="J11" r:id="rId13"/>
    <hyperlink ref="O11" r:id="rId14"/>
    <hyperlink ref="J12" r:id="rId15"/>
    <hyperlink ref="O12" r:id="rId16"/>
    <hyperlink ref="J13" r:id="rId17"/>
    <hyperlink ref="O13" r:id="rId18"/>
    <hyperlink ref="J14" r:id="rId19"/>
    <hyperlink ref="J15" r:id="rId20"/>
    <hyperlink ref="J16" r:id="rId21"/>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D116"/>
  <sheetViews>
    <sheetView showGridLines="0" zoomScale="68" workbookViewId="0">
      <selection activeCell="B38" sqref="B38"/>
    </sheetView>
  </sheetViews>
  <sheetFormatPr defaultColWidth="14.453125" defaultRowHeight="15.75" customHeight="1"/>
  <cols>
    <col min="1" max="1" width="13.453125" customWidth="1"/>
    <col min="2" max="2" width="38.54296875" customWidth="1"/>
    <col min="3" max="3" width="39" customWidth="1"/>
    <col min="4" max="4" width="29.453125" customWidth="1"/>
    <col min="5" max="5" width="33.453125" customWidth="1"/>
    <col min="6" max="6" width="29.453125" customWidth="1"/>
    <col min="7" max="7" width="28.36328125" customWidth="1"/>
    <col min="8" max="8" width="27.36328125" customWidth="1"/>
    <col min="9" max="9" width="17.36328125" customWidth="1"/>
    <col min="10" max="10" width="43.36328125" customWidth="1"/>
    <col min="11" max="11" width="30" customWidth="1"/>
  </cols>
  <sheetData>
    <row r="1" spans="1:30" ht="12.5">
      <c r="A1" s="328" t="s">
        <v>173</v>
      </c>
      <c r="B1" s="319"/>
      <c r="C1" s="320"/>
      <c r="D1" s="16"/>
      <c r="E1" s="16"/>
      <c r="F1" s="16"/>
      <c r="G1" s="16"/>
      <c r="H1" s="16"/>
      <c r="I1" s="16"/>
    </row>
    <row r="2" spans="1:30" ht="12.5">
      <c r="A2" s="321"/>
      <c r="B2" s="302"/>
      <c r="C2" s="322"/>
      <c r="D2" s="16"/>
      <c r="E2" s="16"/>
      <c r="F2" s="16"/>
      <c r="G2" s="16"/>
      <c r="H2" s="16"/>
      <c r="I2" s="16"/>
    </row>
    <row r="3" spans="1:30" ht="12.5">
      <c r="A3" s="321"/>
      <c r="B3" s="302"/>
      <c r="C3" s="322"/>
      <c r="D3" s="16"/>
      <c r="E3" s="16"/>
      <c r="F3" s="16"/>
      <c r="G3" s="16"/>
      <c r="H3" s="16"/>
      <c r="I3" s="16"/>
    </row>
    <row r="4" spans="1:30" ht="12.5">
      <c r="A4" s="323"/>
      <c r="B4" s="324"/>
      <c r="C4" s="325"/>
      <c r="D4" s="16"/>
      <c r="E4" s="16"/>
      <c r="F4" s="16"/>
      <c r="G4" s="16"/>
      <c r="H4" s="16"/>
      <c r="I4" s="16"/>
    </row>
    <row r="5" spans="1:30" ht="12.5">
      <c r="B5" s="9"/>
      <c r="C5" s="9"/>
      <c r="D5" s="16"/>
      <c r="E5" s="16"/>
      <c r="F5" s="16"/>
      <c r="G5" s="16"/>
      <c r="H5" s="16"/>
      <c r="I5" s="16"/>
    </row>
    <row r="6" spans="1:30" ht="46.25" customHeight="1">
      <c r="B6" s="299" t="s">
        <v>174</v>
      </c>
      <c r="C6" s="299" t="s">
        <v>175</v>
      </c>
      <c r="D6" s="299" t="s">
        <v>176</v>
      </c>
      <c r="E6" s="299" t="s">
        <v>177</v>
      </c>
      <c r="F6" s="299" t="s">
        <v>178</v>
      </c>
      <c r="G6" s="299" t="s">
        <v>179</v>
      </c>
      <c r="H6" s="299" t="s">
        <v>180</v>
      </c>
      <c r="I6" s="299" t="s">
        <v>181</v>
      </c>
    </row>
    <row r="7" spans="1:30" ht="12.5">
      <c r="A7" s="267" t="s">
        <v>182</v>
      </c>
      <c r="B7" s="268"/>
      <c r="C7" s="269">
        <f ca="1">IFERROR(__xludf.DUMMYFUNCTION("AVERAGE.WEIGHTED(C8:C1005,B8:B1005)"),0.29)</f>
        <v>0.28999999999999998</v>
      </c>
      <c r="D7" s="255"/>
      <c r="E7" s="255"/>
      <c r="F7" s="254">
        <f>AVERAGE(F8:F1005)</f>
        <v>4.3478896882494</v>
      </c>
      <c r="G7" s="270">
        <f ca="1">IFERROR(__xludf.DUMMYFUNCTION("AVERAGE.WEIGHTED(G8:G1005,B8:B1005)"),0.993333333333333)</f>
        <v>0.99333333333333296</v>
      </c>
      <c r="H7" s="270">
        <f ca="1">IFERROR(__xludf.DUMMYFUNCTION("AVERAGE.WEIGHTED(H8:H1005,B8:B1005)"),0.00666666666666666)</f>
        <v>6.6666666666666602E-3</v>
      </c>
      <c r="I7" s="257">
        <f>AVERAGE(I8:I105)</f>
        <v>6.15</v>
      </c>
      <c r="J7" s="32"/>
      <c r="K7" s="32"/>
      <c r="L7" s="32"/>
      <c r="M7" s="32"/>
      <c r="N7" s="32"/>
      <c r="O7" s="32"/>
      <c r="P7" s="32"/>
      <c r="Q7" s="32"/>
      <c r="R7" s="32"/>
      <c r="S7" s="32"/>
      <c r="T7" s="32"/>
      <c r="U7" s="32"/>
      <c r="V7" s="32"/>
      <c r="W7" s="32"/>
      <c r="X7" s="32"/>
      <c r="Y7" s="32"/>
      <c r="Z7" s="32"/>
      <c r="AA7" s="32"/>
      <c r="AB7" s="32"/>
      <c r="AC7" s="32"/>
      <c r="AD7" s="32"/>
    </row>
    <row r="8" spans="1:30" ht="12.5">
      <c r="A8" s="218" t="s">
        <v>183</v>
      </c>
      <c r="B8" s="271">
        <f>(1/3)</f>
        <v>0.33333333333333331</v>
      </c>
      <c r="C8" s="272">
        <f>D8+E8</f>
        <v>0.17</v>
      </c>
      <c r="D8" s="273">
        <v>0.17</v>
      </c>
      <c r="E8" s="273"/>
      <c r="F8" s="273">
        <v>3.42</v>
      </c>
      <c r="G8" s="271">
        <v>1</v>
      </c>
      <c r="H8" s="271">
        <v>0</v>
      </c>
      <c r="I8" s="262">
        <v>5</v>
      </c>
    </row>
    <row r="9" spans="1:30" ht="12.5">
      <c r="A9" s="218" t="s">
        <v>184</v>
      </c>
      <c r="B9" s="271">
        <f>(1/3)</f>
        <v>0.33333333333333331</v>
      </c>
      <c r="C9" s="272">
        <f>D9+E9</f>
        <v>0.28000000000000003</v>
      </c>
      <c r="D9" s="273">
        <v>0.28000000000000003</v>
      </c>
      <c r="E9" s="273"/>
      <c r="F9" s="273"/>
      <c r="G9" s="271">
        <v>1</v>
      </c>
      <c r="H9" s="271">
        <v>0</v>
      </c>
      <c r="I9" s="262"/>
    </row>
    <row r="10" spans="1:30" ht="12.5">
      <c r="A10" s="218" t="s">
        <v>185</v>
      </c>
      <c r="B10" s="271">
        <f>(1/3)</f>
        <v>0.33333333333333331</v>
      </c>
      <c r="C10" s="272">
        <f>D10+E10</f>
        <v>0.42</v>
      </c>
      <c r="D10" s="273">
        <f>0.21*2</f>
        <v>0.42</v>
      </c>
      <c r="E10" s="274"/>
      <c r="F10" s="273">
        <v>5.2757793764988001</v>
      </c>
      <c r="G10" s="271">
        <v>0.98</v>
      </c>
      <c r="H10" s="271">
        <v>0.02</v>
      </c>
      <c r="I10" s="262">
        <v>7.3</v>
      </c>
    </row>
    <row r="11" spans="1:30" ht="12.5">
      <c r="A11" s="221"/>
      <c r="B11" s="275"/>
      <c r="C11" s="272"/>
      <c r="D11" s="276"/>
      <c r="E11" s="276"/>
      <c r="F11" s="276"/>
      <c r="G11" s="265"/>
      <c r="H11" s="265"/>
      <c r="I11" s="265"/>
    </row>
    <row r="12" spans="1:30" ht="12.5">
      <c r="A12" s="221"/>
      <c r="B12" s="275"/>
      <c r="C12" s="272"/>
      <c r="D12" s="265"/>
      <c r="E12" s="265"/>
      <c r="F12" s="265"/>
      <c r="G12" s="265"/>
      <c r="H12" s="265"/>
      <c r="I12" s="265"/>
    </row>
    <row r="13" spans="1:30" ht="12.5">
      <c r="A13" s="221"/>
      <c r="B13" s="275"/>
      <c r="C13" s="272"/>
      <c r="D13" s="265"/>
      <c r="E13" s="265"/>
      <c r="F13" s="265"/>
      <c r="G13" s="265"/>
      <c r="H13" s="265"/>
      <c r="I13" s="265"/>
    </row>
    <row r="14" spans="1:30" ht="12.5">
      <c r="A14" s="221"/>
      <c r="B14" s="275"/>
      <c r="C14" s="272"/>
      <c r="D14" s="265"/>
      <c r="E14" s="265"/>
      <c r="F14" s="265"/>
      <c r="G14" s="265"/>
      <c r="H14" s="265"/>
      <c r="I14" s="265"/>
    </row>
    <row r="15" spans="1:30" ht="12.5">
      <c r="A15" s="221"/>
      <c r="B15" s="275"/>
      <c r="C15" s="272"/>
      <c r="D15" s="265"/>
      <c r="E15" s="265"/>
      <c r="F15" s="265"/>
      <c r="G15" s="265"/>
      <c r="H15" s="265"/>
      <c r="I15" s="265"/>
    </row>
    <row r="16" spans="1:30" ht="12.5">
      <c r="A16" s="221"/>
      <c r="B16" s="275"/>
      <c r="C16" s="272"/>
      <c r="D16" s="265"/>
      <c r="E16" s="265"/>
      <c r="F16" s="265"/>
      <c r="G16" s="265"/>
      <c r="H16" s="265"/>
      <c r="I16" s="265"/>
    </row>
    <row r="17" spans="1:9" ht="12.5">
      <c r="A17" s="221"/>
      <c r="B17" s="275"/>
      <c r="C17" s="272"/>
      <c r="D17" s="265"/>
      <c r="E17" s="265"/>
      <c r="F17" s="265"/>
      <c r="G17" s="265"/>
      <c r="H17" s="265"/>
      <c r="I17" s="265"/>
    </row>
    <row r="18" spans="1:9" ht="12.5">
      <c r="A18" s="221"/>
      <c r="B18" s="275"/>
      <c r="C18" s="272"/>
      <c r="D18" s="265"/>
      <c r="E18" s="265"/>
      <c r="F18" s="265"/>
      <c r="G18" s="265"/>
      <c r="H18" s="265"/>
      <c r="I18" s="265"/>
    </row>
    <row r="19" spans="1:9" ht="12.5">
      <c r="A19" s="221"/>
      <c r="B19" s="275"/>
      <c r="C19" s="272"/>
      <c r="D19" s="265"/>
      <c r="E19" s="265"/>
      <c r="F19" s="265"/>
      <c r="G19" s="265"/>
      <c r="H19" s="265"/>
      <c r="I19" s="265"/>
    </row>
    <row r="20" spans="1:9" ht="12.5">
      <c r="A20" s="221"/>
      <c r="B20" s="275"/>
      <c r="C20" s="272"/>
      <c r="D20" s="275"/>
      <c r="E20" s="275"/>
      <c r="F20" s="275"/>
      <c r="G20" s="275"/>
      <c r="H20" s="275"/>
      <c r="I20" s="275"/>
    </row>
    <row r="21" spans="1:9" ht="12.5">
      <c r="A21" s="221"/>
      <c r="B21" s="275"/>
      <c r="C21" s="272"/>
      <c r="D21" s="275"/>
      <c r="E21" s="275"/>
      <c r="F21" s="275"/>
      <c r="G21" s="275"/>
      <c r="H21" s="275"/>
      <c r="I21" s="275"/>
    </row>
    <row r="22" spans="1:9" ht="12.5">
      <c r="A22" s="221"/>
      <c r="B22" s="265"/>
      <c r="C22" s="272"/>
      <c r="D22" s="265"/>
      <c r="E22" s="265"/>
      <c r="F22" s="265"/>
      <c r="G22" s="265"/>
      <c r="H22" s="265"/>
      <c r="I22" s="265"/>
    </row>
    <row r="23" spans="1:9" ht="12.5">
      <c r="A23" s="221"/>
      <c r="B23" s="265"/>
      <c r="C23" s="272"/>
      <c r="D23" s="265"/>
      <c r="E23" s="265"/>
      <c r="F23" s="265"/>
      <c r="G23" s="265"/>
      <c r="H23" s="265"/>
      <c r="I23" s="265"/>
    </row>
    <row r="24" spans="1:9" ht="12.5">
      <c r="A24" s="221"/>
      <c r="B24" s="265"/>
      <c r="C24" s="272"/>
      <c r="D24" s="265"/>
      <c r="E24" s="265"/>
      <c r="F24" s="265"/>
      <c r="G24" s="265"/>
      <c r="H24" s="265"/>
      <c r="I24" s="265"/>
    </row>
    <row r="25" spans="1:9" ht="12.5">
      <c r="A25" s="221"/>
      <c r="B25" s="265"/>
      <c r="C25" s="272"/>
      <c r="D25" s="265"/>
      <c r="E25" s="265"/>
      <c r="F25" s="265"/>
      <c r="G25" s="265"/>
      <c r="H25" s="265"/>
      <c r="I25" s="265"/>
    </row>
    <row r="26" spans="1:9" ht="12.5">
      <c r="A26" s="221"/>
      <c r="B26" s="265"/>
      <c r="C26" s="272"/>
      <c r="D26" s="265"/>
      <c r="E26" s="265"/>
      <c r="F26" s="265"/>
      <c r="G26" s="265"/>
      <c r="H26" s="265"/>
      <c r="I26" s="265"/>
    </row>
    <row r="27" spans="1:9" ht="12.5">
      <c r="A27" s="221"/>
      <c r="B27" s="265"/>
      <c r="C27" s="272"/>
      <c r="D27" s="265"/>
      <c r="E27" s="265"/>
      <c r="F27" s="265"/>
      <c r="G27" s="265"/>
      <c r="H27" s="265"/>
      <c r="I27" s="265"/>
    </row>
    <row r="28" spans="1:9" ht="12.5">
      <c r="A28" s="221"/>
      <c r="B28" s="265"/>
      <c r="C28" s="272"/>
      <c r="D28" s="265"/>
      <c r="E28" s="265"/>
      <c r="F28" s="265"/>
      <c r="G28" s="265"/>
      <c r="H28" s="265"/>
      <c r="I28" s="265"/>
    </row>
    <row r="29" spans="1:9" ht="12.5">
      <c r="A29" s="221"/>
      <c r="B29" s="265"/>
      <c r="C29" s="272"/>
      <c r="D29" s="265"/>
      <c r="E29" s="265"/>
      <c r="F29" s="265"/>
      <c r="G29" s="265"/>
      <c r="H29" s="265"/>
      <c r="I29" s="265"/>
    </row>
    <row r="30" spans="1:9" ht="12.5">
      <c r="A30" s="221"/>
      <c r="B30" s="265"/>
      <c r="C30" s="272"/>
      <c r="D30" s="265"/>
      <c r="E30" s="265"/>
      <c r="F30" s="265"/>
      <c r="G30" s="265"/>
      <c r="H30" s="265"/>
      <c r="I30" s="265"/>
    </row>
    <row r="31" spans="1:9" ht="12.5">
      <c r="C31" s="36"/>
    </row>
    <row r="32" spans="1:9" ht="12.5">
      <c r="C32" s="36"/>
    </row>
    <row r="33" spans="3:3" ht="12.5">
      <c r="C33" s="36"/>
    </row>
    <row r="34" spans="3:3" ht="12.5">
      <c r="C34" s="36"/>
    </row>
    <row r="35" spans="3:3" ht="12.5">
      <c r="C35" s="36"/>
    </row>
    <row r="36" spans="3:3" ht="12.5">
      <c r="C36" s="36"/>
    </row>
    <row r="37" spans="3:3" ht="12.5">
      <c r="C37" s="36"/>
    </row>
    <row r="38" spans="3:3" ht="12.5">
      <c r="C38" s="36"/>
    </row>
    <row r="39" spans="3:3" ht="12.5">
      <c r="C39" s="36"/>
    </row>
    <row r="40" spans="3:3" ht="12.5">
      <c r="C40" s="36"/>
    </row>
    <row r="41" spans="3:3" ht="12.5">
      <c r="C41" s="36"/>
    </row>
    <row r="42" spans="3:3" ht="12.5">
      <c r="C42" s="36"/>
    </row>
    <row r="43" spans="3:3" ht="12.5">
      <c r="C43" s="36"/>
    </row>
    <row r="44" spans="3:3" ht="12.5">
      <c r="C44" s="36"/>
    </row>
    <row r="45" spans="3:3" ht="12.5">
      <c r="C45" s="36"/>
    </row>
    <row r="46" spans="3:3" ht="12.5">
      <c r="C46" s="36"/>
    </row>
    <row r="47" spans="3:3" ht="12.5">
      <c r="C47" s="36"/>
    </row>
    <row r="48" spans="3:3" ht="12.5">
      <c r="C48" s="36"/>
    </row>
    <row r="49" spans="3:3" ht="12.5">
      <c r="C49" s="36"/>
    </row>
    <row r="50" spans="3:3" ht="12.5">
      <c r="C50" s="36"/>
    </row>
    <row r="51" spans="3:3" ht="12.5">
      <c r="C51" s="36"/>
    </row>
    <row r="52" spans="3:3" ht="12.5">
      <c r="C52" s="36"/>
    </row>
    <row r="53" spans="3:3" ht="12.5">
      <c r="C53" s="36"/>
    </row>
    <row r="54" spans="3:3" ht="12.5">
      <c r="C54" s="36"/>
    </row>
    <row r="55" spans="3:3" ht="12.5">
      <c r="C55" s="36"/>
    </row>
    <row r="56" spans="3:3" ht="12.5">
      <c r="C56" s="36"/>
    </row>
    <row r="57" spans="3:3" ht="12.5">
      <c r="C57" s="36"/>
    </row>
    <row r="58" spans="3:3" ht="12.5">
      <c r="C58" s="36"/>
    </row>
    <row r="59" spans="3:3" ht="12.5">
      <c r="C59" s="36"/>
    </row>
    <row r="60" spans="3:3" ht="12.5">
      <c r="C60" s="36"/>
    </row>
    <row r="61" spans="3:3" ht="12.5">
      <c r="C61" s="36"/>
    </row>
    <row r="62" spans="3:3" ht="12.5">
      <c r="C62" s="36"/>
    </row>
    <row r="63" spans="3:3" ht="12.5">
      <c r="C63" s="36"/>
    </row>
    <row r="64" spans="3:3" ht="12.5">
      <c r="C64" s="36"/>
    </row>
    <row r="65" spans="3:3" ht="12.5">
      <c r="C65" s="36"/>
    </row>
    <row r="66" spans="3:3" ht="12.5">
      <c r="C66" s="36"/>
    </row>
    <row r="67" spans="3:3" ht="12.5">
      <c r="C67" s="36"/>
    </row>
    <row r="68" spans="3:3" ht="12.5">
      <c r="C68" s="36"/>
    </row>
    <row r="69" spans="3:3" ht="12.5">
      <c r="C69" s="36"/>
    </row>
    <row r="70" spans="3:3" ht="12.5">
      <c r="C70" s="36"/>
    </row>
    <row r="71" spans="3:3" ht="12.5">
      <c r="C71" s="36"/>
    </row>
    <row r="72" spans="3:3" ht="12.5">
      <c r="C72" s="36"/>
    </row>
    <row r="73" spans="3:3" ht="12.5">
      <c r="C73" s="36"/>
    </row>
    <row r="74" spans="3:3" ht="12.5">
      <c r="C74" s="36"/>
    </row>
    <row r="75" spans="3:3" ht="12.5">
      <c r="C75" s="36"/>
    </row>
    <row r="76" spans="3:3" ht="12.5">
      <c r="C76" s="36"/>
    </row>
    <row r="77" spans="3:3" ht="12.5">
      <c r="C77" s="36"/>
    </row>
    <row r="78" spans="3:3" ht="12.5">
      <c r="C78" s="36"/>
    </row>
    <row r="79" spans="3:3" ht="12.5">
      <c r="C79" s="36"/>
    </row>
    <row r="80" spans="3:3" ht="12.5">
      <c r="C80" s="36"/>
    </row>
    <row r="81" spans="3:3" ht="12.5">
      <c r="C81" s="36"/>
    </row>
    <row r="82" spans="3:3" ht="12.5">
      <c r="C82" s="36"/>
    </row>
    <row r="83" spans="3:3" ht="12.5">
      <c r="C83" s="36"/>
    </row>
    <row r="84" spans="3:3" ht="12.5">
      <c r="C84" s="36"/>
    </row>
    <row r="85" spans="3:3" ht="12.5">
      <c r="C85" s="36"/>
    </row>
    <row r="86" spans="3:3" ht="12.5">
      <c r="C86" s="36"/>
    </row>
    <row r="87" spans="3:3" ht="12.5">
      <c r="C87" s="36"/>
    </row>
    <row r="88" spans="3:3" ht="12.5">
      <c r="C88" s="36"/>
    </row>
    <row r="89" spans="3:3" ht="12.5">
      <c r="C89" s="36"/>
    </row>
    <row r="90" spans="3:3" ht="12.5">
      <c r="C90" s="36"/>
    </row>
    <row r="91" spans="3:3" ht="12.5">
      <c r="C91" s="36"/>
    </row>
    <row r="92" spans="3:3" ht="12.5">
      <c r="C92" s="36"/>
    </row>
    <row r="93" spans="3:3" ht="12.5">
      <c r="C93" s="36"/>
    </row>
    <row r="94" spans="3:3" ht="12.5">
      <c r="C94" s="36"/>
    </row>
    <row r="95" spans="3:3" ht="12.5">
      <c r="C95" s="36"/>
    </row>
    <row r="96" spans="3:3" ht="12.5">
      <c r="C96" s="36"/>
    </row>
    <row r="97" spans="3:3" ht="12.5">
      <c r="C97" s="36"/>
    </row>
    <row r="98" spans="3:3" ht="12.5">
      <c r="C98" s="36"/>
    </row>
    <row r="99" spans="3:3" ht="12.5">
      <c r="C99" s="36"/>
    </row>
    <row r="100" spans="3:3" ht="12.5">
      <c r="C100" s="36"/>
    </row>
    <row r="101" spans="3:3" ht="12.5">
      <c r="C101" s="36"/>
    </row>
    <row r="102" spans="3:3" ht="12.5">
      <c r="C102" s="36"/>
    </row>
    <row r="103" spans="3:3" ht="12.5">
      <c r="C103" s="36"/>
    </row>
    <row r="104" spans="3:3" ht="12.5">
      <c r="C104" s="36"/>
    </row>
    <row r="105" spans="3:3" ht="12.5">
      <c r="C105" s="36"/>
    </row>
    <row r="106" spans="3:3" ht="12.5">
      <c r="C106" s="36"/>
    </row>
    <row r="107" spans="3:3" ht="12.5">
      <c r="C107" s="36"/>
    </row>
    <row r="108" spans="3:3" ht="12.5">
      <c r="C108" s="36"/>
    </row>
    <row r="109" spans="3:3" ht="12.5">
      <c r="C109" s="36"/>
    </row>
    <row r="110" spans="3:3" ht="12.5">
      <c r="C110" s="36"/>
    </row>
    <row r="111" spans="3:3" ht="12.5">
      <c r="C111" s="36"/>
    </row>
    <row r="112" spans="3:3" ht="12.5">
      <c r="C112" s="36"/>
    </row>
    <row r="113" spans="3:3" ht="12.5">
      <c r="C113" s="36"/>
    </row>
    <row r="114" spans="3:3" ht="12.5">
      <c r="C114" s="36"/>
    </row>
    <row r="115" spans="3:3" ht="12.5">
      <c r="C115" s="36"/>
    </row>
    <row r="116" spans="3:3" ht="12.5">
      <c r="C116" s="36"/>
    </row>
  </sheetData>
  <mergeCells count="1">
    <mergeCell ref="A1:C4"/>
  </mergeCells>
  <pageMargins left="0.7" right="0.7" top="0.75" bottom="0.75" header="0.3" footer="0.3"/>
  <pageSetup paperSize="9" orientation="portrait" horizontalDpi="30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M1067"/>
  <sheetViews>
    <sheetView zoomScale="88" zoomScaleNormal="31" workbookViewId="0">
      <pane xSplit="1" topLeftCell="L1" activePane="topRight" state="frozen"/>
      <selection pane="topRight" activeCell="O186" sqref="O186"/>
    </sheetView>
  </sheetViews>
  <sheetFormatPr defaultColWidth="14.453125" defaultRowHeight="15.75" customHeight="1" outlineLevelRow="1"/>
  <cols>
    <col min="1" max="1" width="84.08984375" customWidth="1"/>
    <col min="2" max="2" width="24.6328125" customWidth="1"/>
    <col min="3" max="3" width="30.453125" customWidth="1"/>
    <col min="4" max="4" width="33.54296875" customWidth="1"/>
    <col min="5" max="5" width="27.90625" customWidth="1"/>
    <col min="6" max="6" width="33" customWidth="1"/>
    <col min="7" max="7" width="24.36328125" customWidth="1"/>
    <col min="8" max="9" width="29.90625" customWidth="1"/>
    <col min="10" max="10" width="28.90625" customWidth="1"/>
    <col min="11" max="11" width="23.08984375" customWidth="1"/>
    <col min="12" max="12" width="23.54296875" customWidth="1"/>
    <col min="13" max="13" width="40.6328125" customWidth="1"/>
    <col min="14" max="15" width="39.453125" customWidth="1"/>
    <col min="16" max="17" width="24.08984375" customWidth="1"/>
    <col min="18" max="18" width="19.90625" customWidth="1"/>
    <col min="19" max="19" width="43.90625" customWidth="1"/>
    <col min="20" max="20" width="57.90625" customWidth="1"/>
    <col min="21" max="21" width="69.54296875" customWidth="1"/>
    <col min="22" max="22" width="52.90625" customWidth="1"/>
    <col min="23" max="23" width="47.453125" hidden="1" customWidth="1"/>
  </cols>
  <sheetData>
    <row r="1" spans="1:39" ht="13">
      <c r="A1" s="333" t="s">
        <v>186</v>
      </c>
      <c r="B1" s="37"/>
      <c r="C1" s="37"/>
      <c r="D1" s="37"/>
      <c r="E1" s="37"/>
      <c r="F1" s="37"/>
      <c r="G1" s="37"/>
      <c r="H1" s="37"/>
      <c r="I1" s="37"/>
      <c r="J1" s="37"/>
      <c r="K1" s="37"/>
      <c r="L1" s="37"/>
      <c r="M1" s="37"/>
      <c r="N1" s="37"/>
      <c r="O1" s="37"/>
      <c r="P1" s="37"/>
      <c r="Q1" s="37"/>
      <c r="R1" s="37"/>
      <c r="S1" s="38"/>
      <c r="T1" s="3"/>
      <c r="U1" s="39"/>
      <c r="V1" s="3"/>
      <c r="W1" s="40"/>
    </row>
    <row r="2" spans="1:39" ht="13">
      <c r="A2" s="334"/>
      <c r="B2" s="37"/>
      <c r="C2" s="37"/>
      <c r="D2" s="37"/>
      <c r="E2" s="37"/>
      <c r="F2" s="37"/>
      <c r="G2" s="37"/>
      <c r="H2" s="37"/>
      <c r="I2" s="37"/>
      <c r="J2" s="37"/>
      <c r="K2" s="37"/>
      <c r="L2" s="37"/>
      <c r="M2" s="37"/>
      <c r="N2" s="37"/>
      <c r="O2" s="37"/>
      <c r="P2" s="37"/>
      <c r="Q2" s="37"/>
      <c r="R2" s="37"/>
      <c r="S2" s="38"/>
      <c r="T2" s="3"/>
      <c r="U2" s="39"/>
      <c r="V2" s="3"/>
      <c r="W2" s="40"/>
    </row>
    <row r="3" spans="1:39" ht="13">
      <c r="A3" s="334"/>
      <c r="B3" s="37"/>
      <c r="C3" s="37"/>
      <c r="D3" s="37"/>
      <c r="E3" s="37"/>
      <c r="F3" s="37"/>
      <c r="G3" s="37"/>
      <c r="H3" s="37"/>
      <c r="I3" s="37"/>
      <c r="J3" s="37"/>
      <c r="K3" s="37"/>
      <c r="L3" s="37"/>
      <c r="M3" s="37"/>
      <c r="N3" s="37"/>
      <c r="O3" s="37"/>
      <c r="P3" s="37"/>
      <c r="Q3" s="37"/>
      <c r="R3" s="37"/>
      <c r="S3" s="38"/>
      <c r="T3" s="3"/>
      <c r="U3" s="39"/>
      <c r="V3" s="3"/>
      <c r="W3" s="40"/>
    </row>
    <row r="4" spans="1:39" ht="13">
      <c r="A4" s="334"/>
      <c r="B4" s="37"/>
      <c r="C4" s="37"/>
      <c r="D4" s="37"/>
      <c r="E4" s="37"/>
      <c r="F4" s="37"/>
      <c r="G4" s="37"/>
      <c r="H4" s="37"/>
      <c r="I4" s="37"/>
      <c r="J4" s="37"/>
      <c r="K4" s="37"/>
      <c r="L4" s="37"/>
      <c r="M4" s="37"/>
      <c r="N4" s="37"/>
      <c r="O4" s="37"/>
      <c r="P4" s="37"/>
      <c r="Q4" s="37"/>
      <c r="R4" s="37"/>
      <c r="S4" s="38"/>
      <c r="T4" s="3"/>
      <c r="U4" s="39"/>
      <c r="V4" s="3"/>
      <c r="W4" s="40"/>
    </row>
    <row r="5" spans="1:39" ht="13">
      <c r="A5" s="334"/>
      <c r="B5" s="37"/>
      <c r="C5" s="37"/>
      <c r="D5" s="37"/>
      <c r="E5" s="37"/>
      <c r="F5" s="37"/>
      <c r="G5" s="37"/>
      <c r="H5" s="37"/>
      <c r="I5" s="37"/>
      <c r="J5" s="37"/>
      <c r="K5" s="37"/>
      <c r="L5" s="37"/>
      <c r="M5" s="37"/>
      <c r="N5" s="37"/>
      <c r="O5" s="37"/>
      <c r="P5" s="37"/>
      <c r="Q5" s="37"/>
      <c r="R5" s="37"/>
      <c r="S5" s="38"/>
      <c r="T5" s="3"/>
      <c r="U5" s="39"/>
      <c r="V5" s="3"/>
      <c r="W5" s="40"/>
    </row>
    <row r="6" spans="1:39" ht="13">
      <c r="A6" s="335"/>
      <c r="B6" s="37"/>
      <c r="C6" s="37"/>
      <c r="D6" s="37"/>
      <c r="E6" s="37"/>
      <c r="F6" s="37"/>
      <c r="G6" s="37"/>
      <c r="H6" s="37"/>
      <c r="I6" s="37"/>
      <c r="J6" s="37"/>
      <c r="K6" s="37"/>
      <c r="L6" s="37"/>
      <c r="M6" s="37"/>
      <c r="N6" s="37"/>
      <c r="O6" s="37"/>
      <c r="P6" s="37"/>
      <c r="Q6" s="37"/>
      <c r="R6" s="37"/>
      <c r="S6" s="38"/>
      <c r="T6" s="3"/>
      <c r="U6" s="39"/>
      <c r="V6" s="3"/>
      <c r="W6" s="40"/>
    </row>
    <row r="7" spans="1:39" ht="13">
      <c r="A7" s="40"/>
      <c r="B7" s="37"/>
      <c r="C7" s="37"/>
      <c r="D7" s="37"/>
      <c r="E7" s="37"/>
      <c r="F7" s="37"/>
      <c r="G7" s="37"/>
      <c r="H7" s="37"/>
      <c r="I7" s="37"/>
      <c r="J7" s="37"/>
      <c r="K7" s="37"/>
      <c r="L7" s="37"/>
      <c r="M7" s="37"/>
      <c r="N7" s="37"/>
      <c r="O7" s="37"/>
      <c r="P7" s="37"/>
      <c r="Q7" s="37"/>
      <c r="R7" s="37"/>
      <c r="S7" s="38"/>
      <c r="T7" s="3"/>
      <c r="U7" s="39"/>
      <c r="V7" s="3"/>
      <c r="W7" s="40"/>
    </row>
    <row r="8" spans="1:39" ht="13">
      <c r="A8" s="40"/>
      <c r="B8" s="37"/>
      <c r="C8" s="37"/>
      <c r="D8" s="37"/>
      <c r="E8" s="37"/>
      <c r="F8" s="37"/>
      <c r="G8" s="37"/>
      <c r="H8" s="37"/>
      <c r="I8" s="37"/>
      <c r="J8" s="37"/>
      <c r="K8" s="37"/>
      <c r="L8" s="37"/>
      <c r="M8" s="37"/>
      <c r="N8" s="37"/>
      <c r="O8" s="37"/>
      <c r="P8" s="37"/>
      <c r="Q8" s="37"/>
      <c r="R8" s="37"/>
      <c r="S8" s="38"/>
      <c r="T8" s="3"/>
      <c r="U8" s="39"/>
      <c r="V8" s="3"/>
      <c r="W8" s="40"/>
    </row>
    <row r="9" spans="1:39" ht="13">
      <c r="A9" s="332" t="str">
        <f>(Lähtötiedot!B3&amp;", "&amp;Lähtötiedot!C3)</f>
        <v>Toimija 1, Toimija 1 Talvivaate 1</v>
      </c>
      <c r="B9" s="336" t="str">
        <f>Lähtötiedot!C3</f>
        <v>Toimija 1 Talvivaate 1</v>
      </c>
      <c r="C9" s="302"/>
      <c r="D9" s="302"/>
      <c r="E9" s="302"/>
      <c r="F9" s="302"/>
      <c r="G9" s="302"/>
      <c r="H9" s="302"/>
      <c r="I9" s="302"/>
      <c r="J9" s="302"/>
      <c r="K9" s="302"/>
      <c r="L9" s="302"/>
      <c r="M9" s="302"/>
      <c r="N9" s="302"/>
      <c r="O9" s="302"/>
      <c r="P9" s="302"/>
      <c r="Q9" s="302"/>
      <c r="R9" s="302"/>
      <c r="S9" s="41"/>
      <c r="T9" s="42" t="s">
        <v>187</v>
      </c>
      <c r="U9" s="43" t="s">
        <v>188</v>
      </c>
      <c r="V9" s="44" t="s">
        <v>189</v>
      </c>
      <c r="W9" s="332" t="s">
        <v>190</v>
      </c>
    </row>
    <row r="10" spans="1:39" ht="13">
      <c r="A10" s="302"/>
      <c r="B10" s="302"/>
      <c r="C10" s="302"/>
      <c r="D10" s="302"/>
      <c r="E10" s="302"/>
      <c r="F10" s="302"/>
      <c r="G10" s="302"/>
      <c r="H10" s="302"/>
      <c r="I10" s="302"/>
      <c r="J10" s="302"/>
      <c r="K10" s="302"/>
      <c r="L10" s="302"/>
      <c r="M10" s="302"/>
      <c r="N10" s="302"/>
      <c r="O10" s="302"/>
      <c r="P10" s="302"/>
      <c r="Q10" s="302"/>
      <c r="R10" s="302"/>
      <c r="S10" s="41"/>
      <c r="T10" s="42" t="s">
        <v>191</v>
      </c>
      <c r="U10" s="45"/>
      <c r="V10" s="46">
        <v>1</v>
      </c>
      <c r="W10" s="302"/>
    </row>
    <row r="11" spans="1:39" ht="13" collapsed="1">
      <c r="A11" s="302"/>
      <c r="B11" s="1" t="s">
        <v>192</v>
      </c>
      <c r="C11" s="1" t="s">
        <v>193</v>
      </c>
      <c r="D11" s="1" t="s">
        <v>194</v>
      </c>
      <c r="E11" s="1" t="s">
        <v>195</v>
      </c>
      <c r="F11" s="1" t="s">
        <v>196</v>
      </c>
      <c r="G11" s="1" t="s">
        <v>197</v>
      </c>
      <c r="H11" s="1" t="s">
        <v>193</v>
      </c>
      <c r="I11" s="1" t="s">
        <v>198</v>
      </c>
      <c r="J11" s="1" t="s">
        <v>199</v>
      </c>
      <c r="R11" s="1" t="s">
        <v>200</v>
      </c>
      <c r="S11" s="47" t="s">
        <v>201</v>
      </c>
      <c r="T11" s="42">
        <v>2</v>
      </c>
      <c r="U11" s="45"/>
      <c r="V11" s="46">
        <v>0</v>
      </c>
      <c r="W11" s="302"/>
    </row>
    <row r="12" spans="1:39" ht="12.5" hidden="1" outlineLevel="1">
      <c r="A12" s="48" t="s">
        <v>202</v>
      </c>
      <c r="B12" s="8">
        <f>(Lähtötiedot!F15*'Päästökertoimet ja niiden laatu'!B9)*Lähtötiedot!Q3*Lähtötiedot!R3</f>
        <v>7152.6886615558642</v>
      </c>
      <c r="C12" s="8">
        <f>(Lähtötiedot!F15*'Päästökertoimet ja niiden laatu'!B10*'Päästökertoimet ja niiden laatu'!B17)*Lähtötiedot!Q3*Lähtötiedot!R3</f>
        <v>1884.1687763730054</v>
      </c>
      <c r="D12" s="8">
        <f>Lähtötiedot!Q3*Lähtötiedot!F3*'Kotikonemallien lähtötiedot'!H6*'Päästökertoimet ja niiden laatu'!B21*Lähtötiedot!R3</f>
        <v>78.891437329215989</v>
      </c>
      <c r="E12" s="8">
        <f>Lähtötiedot!Q3*Lähtötiedot!F3*'Kotikonemallien lähtötiedot'!M6*'Päästökertoimet ja niiden laatu'!B21*Lähtötiedot!U3*Lähtötiedot!R3</f>
        <v>146.3018432736674</v>
      </c>
      <c r="F12" s="19">
        <f>Lähtötiedot!Q3*Lähtötiedot!F3*'Kotikonemallien lähtötiedot'!U6*'Päästökertoimet ja niiden laatu'!B22*Lähtötiedot!R3*Lähtötiedot!V3</f>
        <v>169.61137363327887</v>
      </c>
      <c r="G12" s="8">
        <f>(Lähtötiedot!F15*'Päästökertoimet ja niiden laatu'!B9)*Lähtötiedot!Q3*Lähtötiedot!R3</f>
        <v>7152.6886615558642</v>
      </c>
      <c r="H12" s="19">
        <f>(Lähtötiedot!F15*'Päästökertoimet ja niiden laatu'!B10*'Päästökertoimet ja niiden laatu'!B17)*Lähtötiedot!Q3*Lähtötiedot!R3</f>
        <v>1884.1687763730054</v>
      </c>
      <c r="I12" s="19">
        <f>Lähtötiedot!S3*Lähtötiedot!Q3*Lähtötiedot!F3*'Kotikonemallien lähtötiedot'!H6*'Päästökertoimet ja niiden laatu'!B21</f>
        <v>184.08002043483728</v>
      </c>
      <c r="J12" s="19">
        <f>Lähtötiedot!F3*Lähtötiedot!Q3*Lähtötiedot!S3*'Kotikonemallien lähtötiedot'!R6*'Päästökertoimet ja niiden laatu'!B21</f>
        <v>1197.4601050647229</v>
      </c>
      <c r="R12" s="19">
        <f>SUM(B12:J12)</f>
        <v>19850.059655593461</v>
      </c>
      <c r="S12" s="10">
        <f>R12/Lähtötiedot!$L$3/1000</f>
        <v>9.925029827796731</v>
      </c>
      <c r="T12" s="49">
        <f>B12+C12+D12*$T$11+E12+F12+G12+H12+I12*$T$11+J12</f>
        <v>20113.031113357516</v>
      </c>
      <c r="U12" s="10">
        <f>T12/Lähtötiedot!$L$3/1000</f>
        <v>10.056515556678757</v>
      </c>
      <c r="V12" s="50"/>
      <c r="W12" s="10">
        <f>R12/(Lähtötiedot!Q3*Lähtötiedot!F26)</f>
        <v>2.243534567233433</v>
      </c>
    </row>
    <row r="13" spans="1:39" ht="12.5" hidden="1" outlineLevel="1">
      <c r="A13" s="48" t="s">
        <v>203</v>
      </c>
      <c r="B13" s="8">
        <f>(Lähtötiedot!F15*'Päästökertoimet ja niiden laatu'!B7)*Lähtötiedot!Q3*Lähtötiedot!R3</f>
        <v>2494.0295990951372</v>
      </c>
      <c r="C13" s="8">
        <f>(Lähtötiedot!F15*'Päästökertoimet ja niiden laatu'!B8*'Päästökertoimet ja niiden laatu'!B17)*Lähtötiedot!Q3*Lähtötiedot!R3</f>
        <v>676.58787878848818</v>
      </c>
      <c r="D13" s="8">
        <f>Lähtötiedot!Q3*Lähtötiedot!F3*'Kotikonemallien lähtötiedot'!H6*'Päästökertoimet ja niiden laatu'!B21*Lähtötiedot!R3</f>
        <v>78.891437329215989</v>
      </c>
      <c r="E13" s="8">
        <f>Lähtötiedot!Q3*Lähtötiedot!F3*'Kotikonemallien lähtötiedot'!M6*'Päästökertoimet ja niiden laatu'!B21*Lähtötiedot!U3*Lähtötiedot!R3</f>
        <v>146.3018432736674</v>
      </c>
      <c r="F13" s="19">
        <f>Lähtötiedot!Q3*Lähtötiedot!F3*'Kotikonemallien lähtötiedot'!U6*'Päästökertoimet ja niiden laatu'!B22*Lähtötiedot!R3*Lähtötiedot!V3</f>
        <v>169.61137363327887</v>
      </c>
      <c r="G13" s="8">
        <f>(Lähtötiedot!F15*'Päästökertoimet ja niiden laatu'!B7)*Lähtötiedot!Q3*Lähtötiedot!R3</f>
        <v>2494.0295990951372</v>
      </c>
      <c r="H13" s="19">
        <f>(Lähtötiedot!F15*'Päästökertoimet ja niiden laatu'!B8*'Päästökertoimet ja niiden laatu'!B17)*Lähtötiedot!Q3*Lähtötiedot!R3</f>
        <v>676.58787878848818</v>
      </c>
      <c r="I13" s="19">
        <f>Lähtötiedot!S3*Lähtötiedot!Q3*Lähtötiedot!F3*'Kotikonemallien lähtötiedot'!H6*'Päästökertoimet ja niiden laatu'!B21</f>
        <v>184.08002043483728</v>
      </c>
      <c r="J13" s="19">
        <f>Lähtötiedot!F3*Lähtötiedot!Q3*Lähtötiedot!S3*'Kotikonemallien lähtötiedot'!R6*'Päästökertoimet ja niiden laatu'!B21</f>
        <v>1197.4601050647229</v>
      </c>
      <c r="R13" s="8">
        <f>SUM(B13:J13)</f>
        <v>8117.5797355029736</v>
      </c>
      <c r="S13" s="10">
        <f>R13/Lähtötiedot!$L$3/1000</f>
        <v>4.0587898677514866</v>
      </c>
      <c r="T13" s="49">
        <f>B13+C13+D13*$T$11+E13+F13+G13+H13+I13*$T$11+J13</f>
        <v>8380.551193267027</v>
      </c>
      <c r="U13" s="10">
        <f>T13/Lähtötiedot!$L$3/1000</f>
        <v>4.1902755966335139</v>
      </c>
      <c r="V13" s="50"/>
      <c r="W13" s="6">
        <f>R13/(Lähtötiedot!Q3*Lähtötiedot!F26)</f>
        <v>0.91748191465725148</v>
      </c>
    </row>
    <row r="14" spans="1:39" ht="13">
      <c r="A14" s="51" t="s">
        <v>204</v>
      </c>
      <c r="B14" s="52">
        <v>0</v>
      </c>
      <c r="C14" s="52">
        <v>0</v>
      </c>
      <c r="D14" s="53">
        <f>Lähtötiedot!Q3*Lähtötiedot!F3*'Kotikonemallien lähtötiedot'!H6*'Päästökertoimet ja niiden laatu'!B21*Lähtötiedot!R3</f>
        <v>78.891437329215989</v>
      </c>
      <c r="E14" s="53">
        <f>Lähtötiedot!Q3*Lähtötiedot!F3*'Kotikonemallien lähtötiedot'!M6*'Päästökertoimet ja niiden laatu'!B21*Lähtötiedot!U3*Lähtötiedot!R3</f>
        <v>146.3018432736674</v>
      </c>
      <c r="F14" s="52">
        <f>Lähtötiedot!Q3*Lähtötiedot!F3*'Kotikonemallien lähtötiedot'!U6*'Päästökertoimet ja niiden laatu'!B22*Lähtötiedot!R3*Lähtötiedot!V3</f>
        <v>169.61137363327887</v>
      </c>
      <c r="G14" s="52">
        <v>0</v>
      </c>
      <c r="H14" s="54">
        <v>0</v>
      </c>
      <c r="I14" s="54">
        <f>Lähtötiedot!S3*Lähtötiedot!Q3*Lähtötiedot!F3*'Kotikonemallien lähtötiedot'!H6*'Päästökertoimet ja niiden laatu'!B21</f>
        <v>184.08002043483728</v>
      </c>
      <c r="J14" s="54">
        <f>Lähtötiedot!F3*Lähtötiedot!Q3*Lähtötiedot!S3*'Kotikonemallien lähtötiedot'!R6*'Päästökertoimet ja niiden laatu'!B21</f>
        <v>1197.4601050647229</v>
      </c>
      <c r="R14" s="53">
        <f>SUM(B14:J14)</f>
        <v>1776.3447797357226</v>
      </c>
      <c r="S14" s="47">
        <f>R14/Lähtötiedot!$L$3/1000</f>
        <v>0.88817238986786129</v>
      </c>
      <c r="T14" s="55">
        <f>B14+C14+D14*$T$11+E14+F14+G14+H14+I14*$T$11+J14</f>
        <v>2039.3162374997758</v>
      </c>
      <c r="V14" s="56"/>
      <c r="W14" s="57">
        <f>R14/(Lähtötiedot!Q3*Lähtötiedot!F26)</f>
        <v>0.20076971988035083</v>
      </c>
    </row>
    <row r="15" spans="1:39" ht="13">
      <c r="A15" s="51" t="s">
        <v>205</v>
      </c>
      <c r="B15" s="47">
        <f>B14/Lähtötiedot!$L$3/1000</f>
        <v>0</v>
      </c>
      <c r="C15" s="47">
        <f>C14/Lähtötiedot!$L$3/1000</f>
        <v>0</v>
      </c>
      <c r="D15" s="47">
        <f>D14/Lähtötiedot!$L$3/1000</f>
        <v>3.9445718664607991E-2</v>
      </c>
      <c r="E15" s="47">
        <f>E14/Lähtötiedot!$L$3/1000</f>
        <v>7.3150921636833705E-2</v>
      </c>
      <c r="F15" s="47">
        <f>F14/Lähtötiedot!$L$3/1000</f>
        <v>8.4805686816639442E-2</v>
      </c>
      <c r="G15" s="47">
        <f>G14/Lähtötiedot!$L$3/1000</f>
        <v>0</v>
      </c>
      <c r="H15" s="47">
        <f>H14/Lähtötiedot!$L$3/1000</f>
        <v>0</v>
      </c>
      <c r="I15" s="47">
        <f>I14/Lähtötiedot!$L$3/1000</f>
        <v>9.2040010217418644E-2</v>
      </c>
      <c r="J15" s="47">
        <f>J14/Lähtötiedot!$L$3/1000</f>
        <v>0.59873005253236145</v>
      </c>
      <c r="R15" s="57">
        <f>SUM(B15:Q15)</f>
        <v>0.88817238986786129</v>
      </c>
      <c r="S15" s="47"/>
      <c r="T15" s="55"/>
      <c r="U15" s="47">
        <f>T14/Lähtötiedot!$L$3/1000</f>
        <v>1.0196581187498879</v>
      </c>
      <c r="V15" s="56"/>
      <c r="W15" s="57"/>
    </row>
    <row r="16" spans="1:39" ht="13">
      <c r="A16" s="58" t="s">
        <v>206</v>
      </c>
      <c r="B16" s="53">
        <f>B14</f>
        <v>0</v>
      </c>
      <c r="C16" s="53">
        <f>C14</f>
        <v>0</v>
      </c>
      <c r="D16" s="53">
        <f>Lähtötiedot!Q3*Lähtötiedot!F3*'Kotikonemallien lähtötiedot'!$H$6*'Päästökertoimet ja niiden laatu'!$B$20*Lähtötiedot!R3</f>
        <v>6.1546511391586938</v>
      </c>
      <c r="E16" s="53">
        <f>Lähtötiedot!Q3*Lähtötiedot!F3*'Kotikonemallien lähtötiedot'!$M$6*'Päästökertoimet ja niiden laatu'!$B$20*Lähtötiedot!U3*Lähtötiedot!R3</f>
        <v>11.413618978796748</v>
      </c>
      <c r="F16" s="53">
        <f>F14</f>
        <v>169.61137363327887</v>
      </c>
      <c r="G16" s="53">
        <f>G14</f>
        <v>0</v>
      </c>
      <c r="H16" s="53">
        <f>H14</f>
        <v>0</v>
      </c>
      <c r="I16" s="53">
        <f>Lähtötiedot!S3*Lähtötiedot!Q3*Lähtötiedot!F3*'Kotikonemallien lähtötiedot'!$H$6*'Päästökertoimet ja niiden laatu'!$B$20</f>
        <v>14.360852658036951</v>
      </c>
      <c r="J16" s="53">
        <f>Lähtötiedot!F3*Lähtötiedot!Q3*Lähtötiedot!S3*'Kotikonemallien lähtötiedot'!$R$6*'Päästökertoimet ja niiden laatu'!$B$21</f>
        <v>1197.4601050647229</v>
      </c>
      <c r="K16" s="59"/>
      <c r="L16" s="59"/>
      <c r="M16" s="59"/>
      <c r="N16" s="59"/>
      <c r="O16" s="59"/>
      <c r="P16" s="59"/>
      <c r="Q16" s="59"/>
      <c r="R16" s="60">
        <f>SUM(B16:Q16)</f>
        <v>1399.0006014739943</v>
      </c>
      <c r="S16" s="61">
        <f>R16/Lähtötiedot!$L$3/1000</f>
        <v>0.69950030073699709</v>
      </c>
      <c r="T16" s="62"/>
      <c r="U16" s="57"/>
      <c r="V16" s="63"/>
      <c r="W16" s="64"/>
      <c r="X16" s="14"/>
      <c r="Y16" s="14"/>
      <c r="Z16" s="14"/>
      <c r="AA16" s="14"/>
      <c r="AB16" s="14"/>
      <c r="AC16" s="14"/>
      <c r="AD16" s="14"/>
      <c r="AE16" s="14"/>
      <c r="AF16" s="14"/>
      <c r="AG16" s="14"/>
      <c r="AH16" s="14"/>
      <c r="AI16" s="14"/>
      <c r="AJ16" s="14"/>
      <c r="AK16" s="14"/>
      <c r="AL16" s="14"/>
      <c r="AM16" s="14"/>
    </row>
    <row r="17" spans="1:39" ht="13">
      <c r="A17" s="51" t="s">
        <v>207</v>
      </c>
      <c r="B17" s="13"/>
      <c r="C17" s="13"/>
      <c r="D17" s="8">
        <f>Lähtötiedot!F3*Lähtötiedot!Q3*'Kotikonemallien lähtötiedot'!I6*Lähtötiedot!R3</f>
        <v>33.887792247616659</v>
      </c>
      <c r="E17" s="13"/>
      <c r="F17" s="13"/>
      <c r="G17" s="13"/>
      <c r="H17" s="13"/>
      <c r="I17" s="8">
        <f>Lähtötiedot!F3*Lähtötiedot!Q3*'Kotikonemallien lähtötiedot'!I6*Lähtötiedot!S3</f>
        <v>79.071515244438871</v>
      </c>
      <c r="J17" s="13"/>
      <c r="K17" s="13"/>
      <c r="L17" s="13"/>
      <c r="M17" s="13"/>
      <c r="N17" s="13"/>
      <c r="O17" s="13"/>
      <c r="P17" s="13"/>
      <c r="Q17" s="13"/>
      <c r="R17" s="65">
        <f>SUM(B17:Q17)</f>
        <v>112.95930749205553</v>
      </c>
      <c r="S17" s="66">
        <f>R17/Lähtötiedot!$L$3</f>
        <v>56.479653746027765</v>
      </c>
      <c r="T17" s="62"/>
      <c r="U17" s="57"/>
      <c r="V17" s="63"/>
      <c r="W17" s="64">
        <f>R17/(Lähtötiedot!Q3*Lähtötiedot!F26)</f>
        <v>1.2767120877531707E-2</v>
      </c>
    </row>
    <row r="18" spans="1:39" ht="12.5">
      <c r="A18" s="16"/>
      <c r="B18" s="13"/>
      <c r="C18" s="13"/>
      <c r="D18" s="13"/>
      <c r="E18" s="13"/>
      <c r="F18" s="13"/>
      <c r="G18" s="13"/>
      <c r="H18" s="13"/>
      <c r="I18" s="13"/>
      <c r="J18" s="13"/>
      <c r="K18" s="13"/>
      <c r="L18" s="13"/>
      <c r="M18" s="13"/>
      <c r="N18" s="13"/>
      <c r="O18" s="13"/>
      <c r="P18" s="13"/>
      <c r="Q18" s="13"/>
      <c r="R18" s="13"/>
      <c r="S18" s="6"/>
      <c r="T18" s="67"/>
      <c r="U18" s="6"/>
      <c r="V18" s="68"/>
      <c r="W18" s="13"/>
    </row>
    <row r="19" spans="1:39" ht="13">
      <c r="A19" s="332" t="str">
        <f>(Lähtötiedot!B3&amp;", "&amp;Lähtötiedot!C4)</f>
        <v>Toimija 1, Toimija 1 Talvivaate 2</v>
      </c>
      <c r="B19" s="336" t="str">
        <f>Lähtötiedot!C4</f>
        <v>Toimija 1 Talvivaate 2</v>
      </c>
      <c r="C19" s="302"/>
      <c r="D19" s="302"/>
      <c r="E19" s="302"/>
      <c r="F19" s="302"/>
      <c r="G19" s="302"/>
      <c r="H19" s="302"/>
      <c r="I19" s="302"/>
      <c r="J19" s="302"/>
      <c r="K19" s="302"/>
      <c r="L19" s="302"/>
      <c r="M19" s="302"/>
      <c r="N19" s="302"/>
      <c r="O19" s="302"/>
      <c r="P19" s="302"/>
      <c r="Q19" s="302"/>
      <c r="R19" s="302"/>
      <c r="S19" s="69"/>
      <c r="T19" s="42"/>
      <c r="U19" s="45"/>
      <c r="V19" s="70"/>
      <c r="W19" s="332" t="s">
        <v>208</v>
      </c>
    </row>
    <row r="20" spans="1:39" ht="13" collapsed="1">
      <c r="A20" s="302"/>
      <c r="B20" s="1" t="s">
        <v>192</v>
      </c>
      <c r="C20" s="1" t="s">
        <v>193</v>
      </c>
      <c r="D20" s="1" t="s">
        <v>194</v>
      </c>
      <c r="E20" s="1" t="s">
        <v>209</v>
      </c>
      <c r="F20" s="1" t="s">
        <v>196</v>
      </c>
      <c r="G20" s="1" t="s">
        <v>197</v>
      </c>
      <c r="H20" s="1" t="s">
        <v>193</v>
      </c>
      <c r="I20" s="1" t="s">
        <v>198</v>
      </c>
      <c r="J20" s="1" t="s">
        <v>199</v>
      </c>
      <c r="R20" s="1" t="s">
        <v>200</v>
      </c>
      <c r="S20" s="47" t="s">
        <v>201</v>
      </c>
      <c r="T20" s="71"/>
      <c r="U20" s="47"/>
      <c r="V20" s="72"/>
      <c r="W20" s="302"/>
    </row>
    <row r="21" spans="1:39" ht="12.5" hidden="1" outlineLevel="1">
      <c r="A21" s="48" t="s">
        <v>202</v>
      </c>
      <c r="B21" s="8">
        <f>(Lähtötiedot!F15*'Päästökertoimet ja niiden laatu'!B9)*Lähtötiedot!Q4*Lähtötiedot!R4</f>
        <v>7152.6886615558642</v>
      </c>
      <c r="C21" s="8">
        <f>Lähtötiedot!F15*'Päästökertoimet ja niiden laatu'!B10*'Päästökertoimet ja niiden laatu'!B17*Lähtötiedot!Q4</f>
        <v>6280.562587910018</v>
      </c>
      <c r="D21" s="8">
        <f>Lähtötiedot!Q4*Lähtötiedot!F4*'Kotikonemallien lähtötiedot'!H6*'Päästökertoimet ja niiden laatu'!B21*Lähtötiedot!R4</f>
        <v>78.891437329215989</v>
      </c>
      <c r="E21" s="19">
        <f>Lähtötiedot!Q4*Lähtötiedot!F4*'Kotikonemallien lähtötiedot'!M6*'Päästökertoimet ja niiden laatu'!B21*Lähtötiedot!U4*Lähtötiedot!R4</f>
        <v>146.3018432736674</v>
      </c>
      <c r="F21" s="19">
        <f>Lähtötiedot!Q4*Lähtötiedot!F4*'Kotikonemallien lähtötiedot'!U6*'Päästökertoimet ja niiden laatu'!B22*Lähtötiedot!R4*Lähtötiedot!V4</f>
        <v>169.61137363327887</v>
      </c>
      <c r="G21" s="8">
        <f>(Lähtötiedot!F15*'Päästökertoimet ja niiden laatu'!B9)*Lähtötiedot!Q4*Lähtötiedot!R4</f>
        <v>7152.6886615558642</v>
      </c>
      <c r="H21" s="8">
        <f>Lähtötiedot!F15*'Päästökertoimet ja niiden laatu'!B10*'Päästökertoimet ja niiden laatu'!B17*Lähtötiedot!Q4*Lähtötiedot!R4</f>
        <v>1884.1687763730054</v>
      </c>
      <c r="I21" s="8">
        <f>Lähtötiedot!F4*Lähtötiedot!Q4*Lähtötiedot!S4*'Kotikonemallien lähtötiedot'!H6*'Päästökertoimet ja niiden laatu'!B21</f>
        <v>184.08002043483728</v>
      </c>
      <c r="J21" s="8">
        <f>Lähtötiedot!F4*Lähtötiedot!Q4*Lähtötiedot!S4*'Kotikonemallien lähtötiedot'!R6*'Päästökertoimet ja niiden laatu'!B21</f>
        <v>1197.4601050647229</v>
      </c>
      <c r="R21" s="19">
        <f>SUM(B21:J21)</f>
        <v>24246.453467130472</v>
      </c>
      <c r="S21" s="10">
        <f>R21/Lähtötiedot!$L$4/1000</f>
        <v>12.123226733565236</v>
      </c>
      <c r="T21" s="49">
        <f>B21+C21+D21*$T$11+E21+F21+G21+H21+I21*$T$11+J21</f>
        <v>24509.424924894527</v>
      </c>
      <c r="U21" s="10">
        <f>T21/Lähtötiedot!$L$4/1000</f>
        <v>12.254712462447264</v>
      </c>
      <c r="V21" s="50"/>
      <c r="W21" s="6">
        <f>R21/(Lähtötiedot!Q4*Lähtötiedot!F26)</f>
        <v>2.7404328969356841</v>
      </c>
    </row>
    <row r="22" spans="1:39" ht="12.5" hidden="1" outlineLevel="1">
      <c r="A22" s="48" t="s">
        <v>203</v>
      </c>
      <c r="B22" s="8">
        <f>(Lähtötiedot!F15*'Päästökertoimet ja niiden laatu'!B7)*Lähtötiedot!Q4*Lähtötiedot!R4</f>
        <v>2494.0295990951372</v>
      </c>
      <c r="C22" s="8">
        <f>Lähtötiedot!F15*'Päästökertoimet ja niiden laatu'!B8*'Päästökertoimet ja niiden laatu'!B17*Lähtötiedot!Q4</f>
        <v>2255.2929292949607</v>
      </c>
      <c r="D22" s="8">
        <f>Lähtötiedot!Q4*Lähtötiedot!F4*'Kotikonemallien lähtötiedot'!H6*'Päästökertoimet ja niiden laatu'!B21*Lähtötiedot!R4</f>
        <v>78.891437329215989</v>
      </c>
      <c r="E22" s="8">
        <f>Lähtötiedot!Q4*Lähtötiedot!F4*'Kotikonemallien lähtötiedot'!M6*'Päästökertoimet ja niiden laatu'!B21*Lähtötiedot!U4*Lähtötiedot!R4</f>
        <v>146.3018432736674</v>
      </c>
      <c r="F22" s="19">
        <f>Lähtötiedot!Q4*Lähtötiedot!F4*'Kotikonemallien lähtötiedot'!U6*'Päästökertoimet ja niiden laatu'!B22*Lähtötiedot!R4*Lähtötiedot!V4</f>
        <v>169.61137363327887</v>
      </c>
      <c r="G22" s="8">
        <f>(Lähtötiedot!F15*'Päästökertoimet ja niiden laatu'!B7)*Lähtötiedot!Q4*Lähtötiedot!R4</f>
        <v>2494.0295990951372</v>
      </c>
      <c r="H22" s="8">
        <f>Lähtötiedot!F15*'Päästökertoimet ja niiden laatu'!B8*'Päästökertoimet ja niiden laatu'!B17*Lähtötiedot!Q4*Lähtötiedot!R4</f>
        <v>676.58787878848818</v>
      </c>
      <c r="I22" s="8">
        <f>Lähtötiedot!F4*Lähtötiedot!Q4*Lähtötiedot!S4*'Kotikonemallien lähtötiedot'!H6*'Päästökertoimet ja niiden laatu'!B21</f>
        <v>184.08002043483728</v>
      </c>
      <c r="J22" s="8">
        <f>Lähtötiedot!F4*Lähtötiedot!Q4*Lähtötiedot!S4*'Kotikonemallien lähtötiedot'!R6*'Päästökertoimet ja niiden laatu'!B21</f>
        <v>1197.4601050647229</v>
      </c>
      <c r="R22" s="8">
        <f>SUM(B22:J22)</f>
        <v>9696.2847860094462</v>
      </c>
      <c r="S22" s="10">
        <f>R22/Lähtötiedot!$L$4/1000</f>
        <v>4.8481423930047232</v>
      </c>
      <c r="T22" s="49">
        <f>B22+C22+D22*$T$11+E22+F22+G22+H22+I22*$T$11+J22</f>
        <v>9959.2562437734978</v>
      </c>
      <c r="U22" s="10">
        <f>T22/Lähtötiedot!$L$4/1000</f>
        <v>4.9796281218867486</v>
      </c>
      <c r="V22" s="50"/>
      <c r="W22" s="6">
        <f>R22/(Lähtötiedot!Q4*Lähtötiedot!F26)</f>
        <v>1.0959135875957873</v>
      </c>
    </row>
    <row r="23" spans="1:39" ht="13">
      <c r="A23" s="51" t="s">
        <v>204</v>
      </c>
      <c r="B23" s="52">
        <v>0</v>
      </c>
      <c r="C23" s="52">
        <v>0</v>
      </c>
      <c r="D23" s="53">
        <f>Lähtötiedot!Q4*Lähtötiedot!F4*'Kotikonemallien lähtötiedot'!H6*'Päästökertoimet ja niiden laatu'!B21*Lähtötiedot!R4</f>
        <v>78.891437329215989</v>
      </c>
      <c r="E23" s="53">
        <f>Lähtötiedot!Q4*Lähtötiedot!F4*'Kotikonemallien lähtötiedot'!M6*'Päästökertoimet ja niiden laatu'!B21*Lähtötiedot!U4*Lähtötiedot!R4</f>
        <v>146.3018432736674</v>
      </c>
      <c r="F23" s="52">
        <f>Lähtötiedot!Q4*Lähtötiedot!F4*'Kotikonemallien lähtötiedot'!U6*'Päästökertoimet ja niiden laatu'!B22*Lähtötiedot!R4*Lähtötiedot!V4</f>
        <v>169.61137363327887</v>
      </c>
      <c r="G23" s="52">
        <v>0</v>
      </c>
      <c r="H23" s="54">
        <v>0</v>
      </c>
      <c r="I23" s="54">
        <f>Lähtötiedot!F4*Lähtötiedot!Q4*Lähtötiedot!S4*'Kotikonemallien lähtötiedot'!H6*'Päästökertoimet ja niiden laatu'!B21</f>
        <v>184.08002043483728</v>
      </c>
      <c r="J23" s="54">
        <f>Lähtötiedot!F4*Lähtötiedot!Q4*Lähtötiedot!S4*'Kotikonemallien lähtötiedot'!R6*'Päästökertoimet ja niiden laatu'!B21</f>
        <v>1197.4601050647229</v>
      </c>
      <c r="R23" s="53">
        <f>SUM(B23:J23)</f>
        <v>1776.3447797357226</v>
      </c>
      <c r="S23" s="47">
        <f>R23/Lähtötiedot!$L$4/1000</f>
        <v>0.88817238986786129</v>
      </c>
      <c r="T23" s="55">
        <f>B23+C23+D23*$T$11+E23+F23+G23+H23+I23*$T$11+J23</f>
        <v>2039.3162374997758</v>
      </c>
      <c r="V23" s="56"/>
      <c r="W23" s="57">
        <f>R23/(Lähtötiedot!Q4*Lähtötiedot!F26)</f>
        <v>0.20076971988035083</v>
      </c>
    </row>
    <row r="24" spans="1:39" ht="13">
      <c r="A24" s="51" t="s">
        <v>205</v>
      </c>
      <c r="B24" s="47">
        <f>B23/Lähtötiedot!$L$4/1000</f>
        <v>0</v>
      </c>
      <c r="C24" s="47">
        <f>C23/Lähtötiedot!$L$4/1000</f>
        <v>0</v>
      </c>
      <c r="D24" s="47">
        <f>D23/Lähtötiedot!$L$4/1000</f>
        <v>3.9445718664607991E-2</v>
      </c>
      <c r="E24" s="47">
        <f>E23/Lähtötiedot!$L$4/1000</f>
        <v>7.3150921636833705E-2</v>
      </c>
      <c r="F24" s="47">
        <f>F23/Lähtötiedot!$L$4/1000</f>
        <v>8.4805686816639442E-2</v>
      </c>
      <c r="G24" s="47">
        <f>G23/Lähtötiedot!$L$4/1000</f>
        <v>0</v>
      </c>
      <c r="H24" s="47">
        <f>H23/Lähtötiedot!$L$4/1000</f>
        <v>0</v>
      </c>
      <c r="I24" s="47">
        <f>I23/Lähtötiedot!$L$4/1000</f>
        <v>9.2040010217418644E-2</v>
      </c>
      <c r="J24" s="47">
        <f>J23/Lähtötiedot!$L$4/1000</f>
        <v>0.59873005253236145</v>
      </c>
      <c r="K24" s="52"/>
      <c r="L24" s="52"/>
      <c r="M24" s="52"/>
      <c r="N24" s="52"/>
      <c r="R24" s="57">
        <f>SUM(B24:Q24)</f>
        <v>0.88817238986786129</v>
      </c>
      <c r="S24" s="47"/>
      <c r="T24" s="55"/>
      <c r="U24" s="47">
        <f>T23/Lähtötiedot!$L$4/1000</f>
        <v>1.0196581187498879</v>
      </c>
      <c r="V24" s="56"/>
      <c r="W24" s="57"/>
    </row>
    <row r="25" spans="1:39" ht="13">
      <c r="A25" s="58" t="s">
        <v>206</v>
      </c>
      <c r="B25" s="53">
        <f>B23</f>
        <v>0</v>
      </c>
      <c r="C25" s="53">
        <f>C23</f>
        <v>0</v>
      </c>
      <c r="D25" s="53">
        <f>Lähtötiedot!Q4*Lähtötiedot!F4*'Kotikonemallien lähtötiedot'!$H$6*'Päästökertoimet ja niiden laatu'!$B$20*Lähtötiedot!R4</f>
        <v>6.1546511391586938</v>
      </c>
      <c r="E25" s="53">
        <f>Lähtötiedot!Q4*Lähtötiedot!F4*'Kotikonemallien lähtötiedot'!M6*'Päästökertoimet ja niiden laatu'!B20*Lähtötiedot!U4*Lähtötiedot!R4</f>
        <v>11.413618978796748</v>
      </c>
      <c r="F25" s="53">
        <f>F23</f>
        <v>169.61137363327887</v>
      </c>
      <c r="G25" s="53">
        <f>G23</f>
        <v>0</v>
      </c>
      <c r="H25" s="53">
        <f>H23</f>
        <v>0</v>
      </c>
      <c r="I25" s="53">
        <f>Lähtötiedot!F4*Lähtötiedot!Q4*Lähtötiedot!S4*'Kotikonemallien lähtötiedot'!H6*'Päästökertoimet ja niiden laatu'!B20</f>
        <v>14.360852658036951</v>
      </c>
      <c r="J25" s="53">
        <f>Lähtötiedot!F4*Lähtötiedot!Q4*Lähtötiedot!S4*'Kotikonemallien lähtötiedot'!R6*'Päästökertoimet ja niiden laatu'!B20</f>
        <v>93.418873444765609</v>
      </c>
      <c r="K25" s="59"/>
      <c r="L25" s="59"/>
      <c r="M25" s="59"/>
      <c r="N25" s="59"/>
      <c r="O25" s="59"/>
      <c r="P25" s="59"/>
      <c r="Q25" s="59"/>
      <c r="R25" s="60">
        <f>SUM(B25:Q25)</f>
        <v>294.95936985403688</v>
      </c>
      <c r="S25" s="61">
        <f>R25/Lähtötiedot!$L$4/1000</f>
        <v>0.14747968492701843</v>
      </c>
      <c r="T25" s="62"/>
      <c r="U25" s="57"/>
      <c r="V25" s="63"/>
      <c r="W25" s="64"/>
      <c r="X25" s="14"/>
      <c r="Y25" s="14"/>
      <c r="Z25" s="14"/>
      <c r="AA25" s="14"/>
      <c r="AB25" s="14"/>
      <c r="AC25" s="14"/>
      <c r="AD25" s="14"/>
      <c r="AE25" s="14"/>
      <c r="AF25" s="14"/>
      <c r="AG25" s="14"/>
      <c r="AH25" s="14"/>
      <c r="AI25" s="14"/>
      <c r="AJ25" s="14"/>
      <c r="AK25" s="14"/>
      <c r="AL25" s="14"/>
      <c r="AM25" s="14"/>
    </row>
    <row r="26" spans="1:39" ht="13">
      <c r="A26" s="51" t="s">
        <v>207</v>
      </c>
      <c r="B26" s="73"/>
      <c r="C26" s="73"/>
      <c r="D26" s="74">
        <f>Lähtötiedot!F4*Lähtötiedot!Q4*'Kotikonemallien lähtötiedot'!I6*Lähtötiedot!R4</f>
        <v>33.887792247616659</v>
      </c>
      <c r="E26" s="73"/>
      <c r="F26" s="73"/>
      <c r="G26" s="73"/>
      <c r="H26" s="73"/>
      <c r="I26" s="74">
        <f>Lähtötiedot!F4*Lähtötiedot!Q4*'Kotikonemallien lähtötiedot'!I6*Lähtötiedot!S4</f>
        <v>79.071515244438871</v>
      </c>
      <c r="J26" s="73"/>
      <c r="K26" s="73"/>
      <c r="L26" s="73"/>
      <c r="M26" s="73"/>
      <c r="N26" s="73"/>
      <c r="O26" s="73"/>
      <c r="P26" s="73"/>
      <c r="Q26" s="73"/>
      <c r="R26" s="66">
        <f>SUM(B26:Q26)</f>
        <v>112.95930749205553</v>
      </c>
      <c r="S26" s="66">
        <f>R26/Lähtötiedot!$L$4</f>
        <v>56.479653746027765</v>
      </c>
      <c r="T26" s="75"/>
      <c r="U26" s="76"/>
      <c r="V26" s="77"/>
      <c r="W26" s="78">
        <f>R26/(Lähtötiedot!Q4*Lähtötiedot!F26)</f>
        <v>1.2767120877531707E-2</v>
      </c>
    </row>
    <row r="27" spans="1:39" ht="13">
      <c r="A27" s="40"/>
      <c r="B27" s="3"/>
      <c r="C27" s="3"/>
      <c r="D27" s="3"/>
      <c r="E27" s="3"/>
      <c r="F27" s="3"/>
      <c r="G27" s="3"/>
      <c r="H27" s="3"/>
      <c r="I27" s="3"/>
      <c r="J27" s="3"/>
      <c r="K27" s="3"/>
      <c r="L27" s="3"/>
      <c r="M27" s="3"/>
      <c r="N27" s="3"/>
      <c r="O27" s="3"/>
      <c r="P27" s="3"/>
      <c r="Q27" s="3"/>
      <c r="R27" s="3"/>
      <c r="S27" s="39"/>
      <c r="T27" s="79"/>
      <c r="U27" s="39"/>
      <c r="V27" s="70"/>
      <c r="W27" s="40"/>
    </row>
    <row r="28" spans="1:39" ht="13">
      <c r="A28" s="51"/>
      <c r="B28" s="8"/>
      <c r="C28" s="8"/>
      <c r="D28" s="8"/>
      <c r="E28" s="8"/>
      <c r="F28" s="8"/>
      <c r="G28" s="8"/>
      <c r="H28" s="8"/>
      <c r="I28" s="8"/>
      <c r="J28" s="8"/>
      <c r="K28" s="8"/>
      <c r="L28" s="8"/>
      <c r="M28" s="8"/>
      <c r="N28" s="8"/>
      <c r="O28" s="8"/>
      <c r="P28" s="8"/>
      <c r="Q28" s="8"/>
      <c r="R28" s="8"/>
      <c r="S28" s="6"/>
      <c r="T28" s="80"/>
      <c r="U28" s="6"/>
      <c r="V28" s="81"/>
      <c r="W28" s="13"/>
    </row>
    <row r="29" spans="1:39" ht="13">
      <c r="A29" s="331" t="str">
        <f>(Lähtötiedot!B3&amp;", "&amp;Lähtötiedot!C3)</f>
        <v>Toimija 1, Toimija 1 Talvivaate 1</v>
      </c>
      <c r="B29" s="330" t="str">
        <f>Lähtötiedot!C3</f>
        <v>Toimija 1 Talvivaate 1</v>
      </c>
      <c r="C29" s="302"/>
      <c r="D29" s="302"/>
      <c r="E29" s="302"/>
      <c r="F29" s="302"/>
      <c r="G29" s="302"/>
      <c r="H29" s="302"/>
      <c r="I29" s="302"/>
      <c r="J29" s="302"/>
      <c r="K29" s="302"/>
      <c r="L29" s="302"/>
      <c r="M29" s="302"/>
      <c r="N29" s="302"/>
      <c r="O29" s="302"/>
      <c r="P29" s="302"/>
      <c r="Q29" s="302"/>
      <c r="R29" s="302"/>
      <c r="S29" s="82"/>
      <c r="T29" s="83"/>
      <c r="U29" s="45"/>
      <c r="V29" s="84"/>
      <c r="W29" s="331" t="s">
        <v>190</v>
      </c>
    </row>
    <row r="30" spans="1:39" ht="13">
      <c r="A30" s="302"/>
      <c r="B30" s="1" t="s">
        <v>210</v>
      </c>
      <c r="C30" s="1" t="s">
        <v>193</v>
      </c>
      <c r="D30" s="1" t="s">
        <v>211</v>
      </c>
      <c r="E30" s="1" t="s">
        <v>212</v>
      </c>
      <c r="F30" s="1" t="s">
        <v>213</v>
      </c>
      <c r="G30" s="1" t="s">
        <v>214</v>
      </c>
      <c r="H30" s="1" t="s">
        <v>193</v>
      </c>
      <c r="K30" s="1"/>
      <c r="R30" s="1" t="s">
        <v>200</v>
      </c>
      <c r="S30" s="47" t="s">
        <v>201</v>
      </c>
      <c r="T30" s="71"/>
      <c r="U30" s="47"/>
      <c r="V30" s="72"/>
      <c r="W30" s="302"/>
    </row>
    <row r="31" spans="1:39" ht="13">
      <c r="A31" s="51" t="s">
        <v>215</v>
      </c>
      <c r="B31" s="8">
        <f>Lähtötiedot!F18*'Päästökertoimet ja niiden laatu'!B11*(Lähtötiedot!F3*Lähtötiedot!Q3)/1000</f>
        <v>0.95941787105693122</v>
      </c>
      <c r="C31" s="8">
        <f>Lähtötiedot!F18*'Päästökertoimet ja niiden laatu'!B12*'Päästökertoimet ja niiden laatu'!B17*Lähtötiedot!F3/1000*Lähtötiedot!Q3</f>
        <v>0.25499194972979766</v>
      </c>
      <c r="D31" s="8">
        <f ca="1">'Palveluntarjoajien lähtötiedot'!C7*Lähtötiedot!F3*Lähtötiedot!Q3*'Päästökertoimet ja niiden laatu'!B21</f>
        <v>622.70788488123674</v>
      </c>
      <c r="E31" s="8">
        <f ca="1">'Palveluntarjoajien lähtötiedot'!F7*Lähtötiedot!F3*Lähtötiedot!Q3*'Päästökertoimet ja niiden laatu'!B23*'Päästökertoimet ja niiden laatu'!B25*'Päästökertoimet ja niiden laatu'!B26*'Palveluntarjoajien lähtötiedot'!G7</f>
        <v>3819.0488277549157</v>
      </c>
      <c r="F31" s="8">
        <f ca="1">'Palveluntarjoajien lähtötiedot'!F7*Lähtötiedot!F3*Lähtötiedot!Q3*'Palveluntarjoajien lähtötiedot'!H7*'Päästökertoimet ja niiden laatu'!B28*'Päästökertoimet ja niiden laatu'!B29</f>
        <v>0.29773950789016113</v>
      </c>
      <c r="G31" s="8">
        <f>Lähtötiedot!F18*'Päästökertoimet ja niiden laatu'!B11*(Lähtötiedot!F3*Lähtötiedot!Q3)/1000</f>
        <v>0.95941787105693122</v>
      </c>
      <c r="H31" s="8">
        <f>Lähtötiedot!F18*'Päästökertoimet ja niiden laatu'!B12*'Päästökertoimet ja niiden laatu'!B17*Lähtötiedot!F3/1000*Lähtötiedot!Q3</f>
        <v>0.25499194972979766</v>
      </c>
      <c r="I31" s="13"/>
      <c r="J31" s="13"/>
      <c r="K31" s="13"/>
      <c r="L31" s="13"/>
      <c r="M31" s="13"/>
      <c r="N31" s="13"/>
      <c r="O31" s="13"/>
      <c r="P31" s="13"/>
      <c r="Q31" s="13"/>
      <c r="R31" s="53">
        <f ca="1">SUM(B31:M31)</f>
        <v>4444.4832717856161</v>
      </c>
      <c r="S31" s="47">
        <f ca="1">R31/Lähtötiedot!$L$3/1000</f>
        <v>2.2222416358928081</v>
      </c>
      <c r="T31" s="85"/>
      <c r="U31" s="57"/>
      <c r="V31" s="86"/>
      <c r="W31" s="57">
        <f ca="1">R31/(Lähtötiedot!Q3*Lähtötiedot!F26)</f>
        <v>0.5023335963089659</v>
      </c>
    </row>
    <row r="32" spans="1:39" ht="13">
      <c r="A32" s="51" t="s">
        <v>205</v>
      </c>
      <c r="B32" s="47">
        <f>B31/Lähtötiedot!$L$3/1000</f>
        <v>4.7970893552846559E-4</v>
      </c>
      <c r="C32" s="47">
        <f>C31/Lähtötiedot!$L$3/1000</f>
        <v>1.2749597486489883E-4</v>
      </c>
      <c r="D32" s="47">
        <f ca="1">D31/Lähtötiedot!$L$3/1000</f>
        <v>0.31135394244061837</v>
      </c>
      <c r="E32" s="47">
        <f ca="1">E31/Lähtötiedot!$L$3/1000</f>
        <v>1.9095244138774579</v>
      </c>
      <c r="F32" s="47">
        <f ca="1">F31/Lähtötiedot!$L$3/1000</f>
        <v>1.4886975394508056E-4</v>
      </c>
      <c r="G32" s="47">
        <f>G31/Lähtötiedot!$L$3/1000</f>
        <v>4.7970893552846559E-4</v>
      </c>
      <c r="H32" s="47">
        <f>H31/Lähtötiedot!$L$3/1000</f>
        <v>1.2749597486489883E-4</v>
      </c>
      <c r="I32" s="13"/>
      <c r="J32" s="13"/>
      <c r="K32" s="13"/>
      <c r="L32" s="13"/>
      <c r="M32" s="13"/>
      <c r="N32" s="13"/>
      <c r="O32" s="13"/>
      <c r="P32" s="13"/>
      <c r="Q32" s="13"/>
      <c r="R32" s="57">
        <f ca="1">SUM(B32:Q32)</f>
        <v>2.2222416358928077</v>
      </c>
      <c r="S32" s="47"/>
      <c r="T32" s="85"/>
      <c r="U32" s="57"/>
      <c r="V32" s="86"/>
      <c r="W32" s="57"/>
    </row>
    <row r="33" spans="1:39" ht="13">
      <c r="A33" s="58" t="s">
        <v>206</v>
      </c>
      <c r="B33" s="8">
        <f>B31</f>
        <v>0.95941787105693122</v>
      </c>
      <c r="C33" s="8">
        <f>C31</f>
        <v>0.25499194972979766</v>
      </c>
      <c r="D33" s="8">
        <f ca="1">'Palveluntarjoajien lähtötiedot'!C7*Lähtötiedot!F3*Lähtötiedot!Q3*'Päästökertoimet ja niiden laatu'!B20</f>
        <v>48.580047756692224</v>
      </c>
      <c r="E33" s="13">
        <f>'Palveluntarjoajien lähtötiedot'!F7*Lähtötiedot!F3*Lähtötiedot!Q3*'Päästökertoimet ja niiden laatu'!B23*'Päästökertoimet ja niiden laatu'!B25*'Päästökertoimet ja niiden laatu'!B26*V11</f>
        <v>0</v>
      </c>
      <c r="F33" s="8">
        <f>'Palveluntarjoajien lähtötiedot'!F7*Lähtötiedot!F3*Lähtötiedot!Q3*V10*'Päästökertoimet ja niiden laatu'!B28*'Päästökertoimet ja niiden laatu'!B29</f>
        <v>44.660926183524211</v>
      </c>
      <c r="G33" s="8">
        <f>G31</f>
        <v>0.95941787105693122</v>
      </c>
      <c r="H33" s="8">
        <f>H31</f>
        <v>0.25499194972979766</v>
      </c>
      <c r="I33" s="13"/>
      <c r="J33" s="13"/>
      <c r="K33" s="13"/>
      <c r="L33" s="13"/>
      <c r="M33" s="13"/>
      <c r="N33" s="13"/>
      <c r="O33" s="13"/>
      <c r="P33" s="13"/>
      <c r="Q33" s="13"/>
      <c r="R33" s="60">
        <f ca="1">SUM(B33:Q33)</f>
        <v>95.669793581789889</v>
      </c>
      <c r="S33" s="61">
        <f ca="1">R33/Lähtötiedot!$L$3/1000</f>
        <v>4.7834896790894942E-2</v>
      </c>
      <c r="T33" s="62"/>
      <c r="U33" s="57"/>
      <c r="V33" s="63"/>
      <c r="W33" s="64"/>
    </row>
    <row r="34" spans="1:39" ht="13">
      <c r="A34" s="51" t="s">
        <v>207</v>
      </c>
      <c r="B34" s="13"/>
      <c r="C34" s="13"/>
      <c r="D34" s="8">
        <f>'Palveluntarjoajien lähtötiedot'!I7*Lähtötiedot!F3*Lähtötiedot!Q3</f>
        <v>93.657458841271861</v>
      </c>
      <c r="E34" s="13"/>
      <c r="F34" s="13"/>
      <c r="G34" s="13"/>
      <c r="H34" s="13"/>
      <c r="I34" s="13"/>
      <c r="J34" s="13"/>
      <c r="K34" s="13"/>
      <c r="L34" s="13"/>
      <c r="M34" s="13"/>
      <c r="N34" s="13"/>
      <c r="O34" s="13"/>
      <c r="P34" s="13"/>
      <c r="Q34" s="13"/>
      <c r="R34" s="65">
        <f>SUM(B34:Q34)</f>
        <v>93.657458841271861</v>
      </c>
      <c r="S34" s="87">
        <f>R34/Lähtötiedot!$L$3</f>
        <v>46.828729420635931</v>
      </c>
      <c r="T34" s="62"/>
      <c r="U34" s="57"/>
      <c r="V34" s="63"/>
      <c r="W34" s="64">
        <f>R34/(Lähtötiedot!Q3*Lähtötiedot!F26)</f>
        <v>1.0585547350253232E-2</v>
      </c>
    </row>
    <row r="35" spans="1:39" ht="12.5">
      <c r="A35" s="13"/>
      <c r="B35" s="13"/>
      <c r="C35" s="13"/>
      <c r="D35" s="13"/>
      <c r="E35" s="13"/>
      <c r="F35" s="13"/>
      <c r="G35" s="13"/>
      <c r="H35" s="13"/>
      <c r="I35" s="13"/>
      <c r="J35" s="13"/>
      <c r="K35" s="13"/>
      <c r="L35" s="13"/>
      <c r="M35" s="13"/>
      <c r="N35" s="13"/>
      <c r="O35" s="13"/>
      <c r="P35" s="13"/>
      <c r="Q35" s="13"/>
      <c r="R35" s="13"/>
      <c r="S35" s="6"/>
      <c r="T35" s="67"/>
      <c r="U35" s="6"/>
      <c r="V35" s="68"/>
      <c r="W35" s="13"/>
    </row>
    <row r="36" spans="1:39" ht="13">
      <c r="A36" s="331" t="str">
        <f>(Lähtötiedot!B3&amp;", "&amp;Lähtötiedot!C4)</f>
        <v>Toimija 1, Toimija 1 Talvivaate 2</v>
      </c>
      <c r="B36" s="330" t="str">
        <f>Lähtötiedot!C4</f>
        <v>Toimija 1 Talvivaate 2</v>
      </c>
      <c r="C36" s="302"/>
      <c r="D36" s="302"/>
      <c r="E36" s="302"/>
      <c r="F36" s="302"/>
      <c r="G36" s="302"/>
      <c r="H36" s="302"/>
      <c r="I36" s="302"/>
      <c r="J36" s="302"/>
      <c r="K36" s="302"/>
      <c r="L36" s="302"/>
      <c r="M36" s="302"/>
      <c r="N36" s="302"/>
      <c r="O36" s="302"/>
      <c r="P36" s="302"/>
      <c r="Q36" s="302"/>
      <c r="R36" s="302"/>
      <c r="S36" s="82"/>
      <c r="T36" s="83"/>
      <c r="U36" s="45"/>
      <c r="V36" s="84"/>
      <c r="W36" s="331" t="s">
        <v>208</v>
      </c>
    </row>
    <row r="37" spans="1:39" ht="13">
      <c r="A37" s="302"/>
      <c r="B37" s="1" t="s">
        <v>210</v>
      </c>
      <c r="C37" s="1" t="s">
        <v>193</v>
      </c>
      <c r="D37" s="1" t="s">
        <v>211</v>
      </c>
      <c r="E37" s="1" t="s">
        <v>212</v>
      </c>
      <c r="F37" s="1" t="s">
        <v>213</v>
      </c>
      <c r="G37" s="1" t="s">
        <v>214</v>
      </c>
      <c r="H37" s="1" t="s">
        <v>193</v>
      </c>
      <c r="K37" s="1"/>
      <c r="R37" s="1" t="s">
        <v>200</v>
      </c>
      <c r="S37" s="47" t="s">
        <v>201</v>
      </c>
      <c r="T37" s="71"/>
      <c r="U37" s="47"/>
      <c r="V37" s="72"/>
      <c r="W37" s="302"/>
    </row>
    <row r="38" spans="1:39" ht="13">
      <c r="A38" s="51" t="s">
        <v>215</v>
      </c>
      <c r="B38" s="8">
        <f>Lähtötiedot!F18*'Päästökertoimet ja niiden laatu'!B11*(Lähtötiedot!F4*Lähtötiedot!Q4)/1000</f>
        <v>0.95941787105693122</v>
      </c>
      <c r="C38" s="8">
        <f>Lähtötiedot!F18*'Päästökertoimet ja niiden laatu'!B12*'Päästökertoimet ja niiden laatu'!B17*Lähtötiedot!F4/1000*Lähtötiedot!Q4</f>
        <v>0.25499194972979766</v>
      </c>
      <c r="D38" s="8">
        <f ca="1">'Palveluntarjoajien lähtötiedot'!C7*Lähtötiedot!F4*Lähtötiedot!Q4*'Päästökertoimet ja niiden laatu'!B21</f>
        <v>622.70788488123674</v>
      </c>
      <c r="E38" s="8">
        <f ca="1">'Palveluntarjoajien lähtötiedot'!F7*Lähtötiedot!F4*Lähtötiedot!Q4*'Päästökertoimet ja niiden laatu'!B23*'Päästökertoimet ja niiden laatu'!B25*'Päästökertoimet ja niiden laatu'!B26*'Palveluntarjoajien lähtötiedot'!G7</f>
        <v>3819.0488277549157</v>
      </c>
      <c r="F38" s="8">
        <f ca="1">'Palveluntarjoajien lähtötiedot'!F7*Lähtötiedot!F4*Lähtötiedot!Q4*'Palveluntarjoajien lähtötiedot'!H7*'Päästökertoimet ja niiden laatu'!B28*'Päästökertoimet ja niiden laatu'!B29</f>
        <v>0.29773950789016113</v>
      </c>
      <c r="G38" s="8">
        <f>Lähtötiedot!F18*'Päästökertoimet ja niiden laatu'!B11*(Lähtötiedot!F4*Lähtötiedot!Q4)/1000</f>
        <v>0.95941787105693122</v>
      </c>
      <c r="H38" s="8">
        <f>Lähtötiedot!F18*'Päästökertoimet ja niiden laatu'!B12*'Päästökertoimet ja niiden laatu'!B17*Lähtötiedot!F4/1000*Lähtötiedot!Q4</f>
        <v>0.25499194972979766</v>
      </c>
      <c r="I38" s="13"/>
      <c r="J38" s="13"/>
      <c r="K38" s="13"/>
      <c r="L38" s="13"/>
      <c r="M38" s="13"/>
      <c r="N38" s="13"/>
      <c r="O38" s="13"/>
      <c r="P38" s="13"/>
      <c r="Q38" s="13"/>
      <c r="R38" s="53">
        <f ca="1">SUM(B38:M38)</f>
        <v>4444.4832717856161</v>
      </c>
      <c r="S38" s="57">
        <f ca="1">R38/Lähtötiedot!$L$4/1000</f>
        <v>2.2222416358928081</v>
      </c>
      <c r="T38" s="85"/>
      <c r="U38" s="57"/>
      <c r="V38" s="86"/>
      <c r="W38" s="57">
        <f ca="1">R38/(Lähtötiedot!Q4*Lähtötiedot!F26)</f>
        <v>0.5023335963089659</v>
      </c>
    </row>
    <row r="39" spans="1:39" ht="13">
      <c r="A39" s="51" t="s">
        <v>205</v>
      </c>
      <c r="B39" s="47">
        <f>B38/Lähtötiedot!$L$4/1000</f>
        <v>4.7970893552846559E-4</v>
      </c>
      <c r="C39" s="47">
        <f>C38/Lähtötiedot!$L$4/1000</f>
        <v>1.2749597486489883E-4</v>
      </c>
      <c r="D39" s="47">
        <f ca="1">D38/Lähtötiedot!$L$4/1000</f>
        <v>0.31135394244061837</v>
      </c>
      <c r="E39" s="47">
        <f ca="1">E38/Lähtötiedot!$L$4/1000</f>
        <v>1.9095244138774579</v>
      </c>
      <c r="F39" s="47">
        <f ca="1">F38/Lähtötiedot!$L$4/1000</f>
        <v>1.4886975394508056E-4</v>
      </c>
      <c r="G39" s="47">
        <f>G38/Lähtötiedot!$L$4/1000</f>
        <v>4.7970893552846559E-4</v>
      </c>
      <c r="H39" s="47">
        <f>H38/Lähtötiedot!$L$4/1000</f>
        <v>1.2749597486489883E-4</v>
      </c>
      <c r="I39" s="13"/>
      <c r="J39" s="13"/>
      <c r="K39" s="13"/>
      <c r="L39" s="13"/>
      <c r="M39" s="13"/>
      <c r="N39" s="13"/>
      <c r="O39" s="13"/>
      <c r="P39" s="13"/>
      <c r="Q39" s="13"/>
      <c r="R39" s="57">
        <f ca="1">SUM(B39:Q39)</f>
        <v>2.2222416358928077</v>
      </c>
      <c r="S39" s="57"/>
      <c r="T39" s="85"/>
      <c r="U39" s="57"/>
      <c r="V39" s="86"/>
      <c r="W39" s="57"/>
    </row>
    <row r="40" spans="1:39" ht="13">
      <c r="A40" s="58" t="s">
        <v>206</v>
      </c>
      <c r="B40" s="8">
        <f>B38</f>
        <v>0.95941787105693122</v>
      </c>
      <c r="C40" s="8">
        <f>C38</f>
        <v>0.25499194972979766</v>
      </c>
      <c r="D40" s="8">
        <f ca="1">'Palveluntarjoajien lähtötiedot'!C7*Lähtötiedot!F4*Lähtötiedot!Q4*'Päästökertoimet ja niiden laatu'!B20</f>
        <v>48.580047756692224</v>
      </c>
      <c r="E40" s="13">
        <f>'Palveluntarjoajien lähtötiedot'!F7*Lähtötiedot!F4*Lähtötiedot!Q4*'Päästökertoimet ja niiden laatu'!B23*'Päästökertoimet ja niiden laatu'!B25*'Päästökertoimet ja niiden laatu'!B26*V11</f>
        <v>0</v>
      </c>
      <c r="F40" s="8">
        <f>'Palveluntarjoajien lähtötiedot'!F7*Lähtötiedot!F4*Lähtötiedot!Q4*V10*'Päästökertoimet ja niiden laatu'!B28*'Päästökertoimet ja niiden laatu'!B29</f>
        <v>44.660926183524211</v>
      </c>
      <c r="G40" s="8">
        <f>G38</f>
        <v>0.95941787105693122</v>
      </c>
      <c r="H40" s="8">
        <f>H38</f>
        <v>0.25499194972979766</v>
      </c>
      <c r="I40" s="13"/>
      <c r="J40" s="13"/>
      <c r="K40" s="13"/>
      <c r="L40" s="13"/>
      <c r="M40" s="13"/>
      <c r="N40" s="13"/>
      <c r="O40" s="13"/>
      <c r="P40" s="13"/>
      <c r="Q40" s="13"/>
      <c r="R40" s="60">
        <f ca="1">SUM(B40:Q40)</f>
        <v>95.669793581789889</v>
      </c>
      <c r="S40" s="88">
        <f ca="1">R40/Lähtötiedot!$L$4/1000</f>
        <v>4.7834896790894942E-2</v>
      </c>
      <c r="T40" s="62"/>
      <c r="U40" s="57"/>
      <c r="V40" s="63"/>
      <c r="W40" s="64"/>
    </row>
    <row r="41" spans="1:39" ht="13">
      <c r="A41" s="51" t="s">
        <v>207</v>
      </c>
      <c r="B41" s="13"/>
      <c r="C41" s="13"/>
      <c r="D41" s="8">
        <f>'Palveluntarjoajien lähtötiedot'!I7*Lähtötiedot!F4*Lähtötiedot!Q4</f>
        <v>93.657458841271861</v>
      </c>
      <c r="E41" s="13"/>
      <c r="F41" s="13"/>
      <c r="G41" s="13"/>
      <c r="H41" s="13"/>
      <c r="I41" s="13"/>
      <c r="J41" s="13"/>
      <c r="K41" s="13"/>
      <c r="L41" s="13"/>
      <c r="M41" s="13"/>
      <c r="N41" s="13"/>
      <c r="O41" s="13"/>
      <c r="P41" s="13"/>
      <c r="Q41" s="13"/>
      <c r="R41" s="65">
        <f>SUM(B41:Q41)</f>
        <v>93.657458841271861</v>
      </c>
      <c r="S41" s="65">
        <f>R41/Lähtötiedot!$L$4</f>
        <v>46.828729420635931</v>
      </c>
      <c r="T41" s="62"/>
      <c r="U41" s="57"/>
      <c r="V41" s="63"/>
      <c r="W41" s="64">
        <f>R41/(Lähtötiedot!Q4*Lähtötiedot!F26)</f>
        <v>1.0585547350253232E-2</v>
      </c>
    </row>
    <row r="42" spans="1:39" ht="12.5">
      <c r="A42" s="13"/>
      <c r="B42" s="13"/>
      <c r="C42" s="13"/>
      <c r="D42" s="13"/>
      <c r="E42" s="13"/>
      <c r="F42" s="13"/>
      <c r="G42" s="13"/>
      <c r="H42" s="13"/>
      <c r="I42" s="13"/>
      <c r="J42" s="13"/>
      <c r="K42" s="13"/>
      <c r="L42" s="13"/>
      <c r="M42" s="13"/>
      <c r="N42" s="13"/>
      <c r="O42" s="13"/>
      <c r="P42" s="13"/>
      <c r="Q42" s="13"/>
      <c r="R42" s="13"/>
      <c r="S42" s="6"/>
      <c r="T42" s="67"/>
      <c r="U42" s="6"/>
      <c r="V42" s="68"/>
      <c r="W42" s="13"/>
    </row>
    <row r="43" spans="1:39" ht="13">
      <c r="A43" s="332" t="str">
        <f>(Lähtötiedot!B5&amp;", "&amp;Lähtötiedot!C5)</f>
        <v>Toimija 2, Toimija 2 vaate 1</v>
      </c>
      <c r="B43" s="329" t="str">
        <f>Lähtötiedot!C5</f>
        <v>Toimija 2 vaate 1</v>
      </c>
      <c r="C43" s="302"/>
      <c r="D43" s="302"/>
      <c r="E43" s="302"/>
      <c r="F43" s="302"/>
      <c r="G43" s="302"/>
      <c r="H43" s="302"/>
      <c r="I43" s="302"/>
      <c r="J43" s="302"/>
      <c r="K43" s="302"/>
      <c r="L43" s="302"/>
      <c r="M43" s="302"/>
      <c r="N43" s="302"/>
      <c r="O43" s="302"/>
      <c r="P43" s="302"/>
      <c r="Q43" s="302"/>
      <c r="R43" s="302"/>
      <c r="S43" s="69"/>
      <c r="T43" s="42"/>
      <c r="U43" s="45"/>
      <c r="V43" s="70"/>
      <c r="W43" s="332" t="s">
        <v>190</v>
      </c>
    </row>
    <row r="44" spans="1:39" ht="13" collapsed="1">
      <c r="A44" s="302"/>
      <c r="B44" s="1" t="s">
        <v>192</v>
      </c>
      <c r="C44" s="1" t="s">
        <v>193</v>
      </c>
      <c r="D44" s="1" t="s">
        <v>194</v>
      </c>
      <c r="E44" s="1" t="s">
        <v>195</v>
      </c>
      <c r="F44" s="1" t="s">
        <v>196</v>
      </c>
      <c r="G44" s="1" t="s">
        <v>197</v>
      </c>
      <c r="H44" s="1" t="s">
        <v>193</v>
      </c>
      <c r="I44" s="1" t="s">
        <v>198</v>
      </c>
      <c r="J44" s="1" t="s">
        <v>199</v>
      </c>
      <c r="K44" s="1" t="s">
        <v>210</v>
      </c>
      <c r="L44" s="1" t="s">
        <v>193</v>
      </c>
      <c r="M44" s="1" t="s">
        <v>211</v>
      </c>
      <c r="N44" s="1" t="s">
        <v>212</v>
      </c>
      <c r="O44" s="1" t="s">
        <v>213</v>
      </c>
      <c r="P44" s="1" t="s">
        <v>214</v>
      </c>
      <c r="Q44" s="1" t="s">
        <v>193</v>
      </c>
      <c r="R44" s="1" t="s">
        <v>200</v>
      </c>
      <c r="S44" s="47" t="s">
        <v>201</v>
      </c>
      <c r="T44" s="71"/>
      <c r="U44" s="47"/>
      <c r="V44" s="72"/>
      <c r="W44" s="302"/>
    </row>
    <row r="45" spans="1:39" ht="12.5" hidden="1" outlineLevel="1">
      <c r="A45" s="48" t="s">
        <v>202</v>
      </c>
      <c r="B45" s="8">
        <f>(Lähtötiedot!F16*'Päästökertoimet ja niiden laatu'!B9)*Lähtötiedot!Q5*Lähtötiedot!R5</f>
        <v>63290.457247706436</v>
      </c>
      <c r="C45" s="8">
        <f>(Lähtötiedot!F16*'Päästökertoimet ja niiden laatu'!B10*'Päästökertoimet ja niiden laatu'!B17)*Lähtötiedot!Q5*Lähtötiedot!R5</f>
        <v>16672.038869724776</v>
      </c>
      <c r="D45" s="8">
        <f>Lähtötiedot!Q5*Lähtötiedot!F5*'Kotikonemallien lähtötiedot'!H6*'Päästökertoimet ja niiden laatu'!B21*Lähtötiedot!R5</f>
        <v>698.06968788275958</v>
      </c>
      <c r="E45" s="8">
        <f>Lähtötiedot!Q5*Lähtötiedot!F5*'Kotikonemallien lähtötiedot'!M6*'Päästökertoimet ja niiden laatu'!B21*Lähtötiedot!U5*Lähtötiedot!R5</f>
        <v>1294.5496435124512</v>
      </c>
      <c r="F45" s="19">
        <f>Lähtötiedot!Q5*Lähtötiedot!F5*'Kotikonemallien lähtötiedot'!U6*'Päästökertoimet ja niiden laatu'!B22*Lähtötiedot!R5*Lähtötiedot!V5</f>
        <v>1500.8036697247708</v>
      </c>
      <c r="G45" s="8">
        <f>(Lähtötiedot!F16*'Päästökertoimet ja niiden laatu'!B9)*Lähtötiedot!Q5*Lähtötiedot!R5</f>
        <v>63290.457247706436</v>
      </c>
      <c r="H45" s="19">
        <f>(Lähtötiedot!F16*'Päästökertoimet ja niiden laatu'!B10*'Päästökertoimet ja niiden laatu'!B17)*Lähtötiedot!Q5*Lähtötiedot!R5</f>
        <v>16672.038869724776</v>
      </c>
      <c r="I45" s="19">
        <f>Lähtötiedot!S5*Lähtötiedot!Q5*Lähtötiedot!F5*'Kotikonemallien lähtötiedot'!H6*'Päästökertoimet ja niiden laatu'!B21</f>
        <v>698.06968788275958</v>
      </c>
      <c r="J45" s="19">
        <f>Lähtötiedot!F5*Lähtötiedot!Q5*Lähtötiedot!S5*'Kotikonemallien lähtötiedot'!R6*'Päästökertoimet ja niiden laatu'!B21</f>
        <v>4541.0175412844037</v>
      </c>
      <c r="K45" s="19" t="e">
        <f>#REF!*'Päästökertoimet ja niiden laatu'!B11*Lähtötiedot!F5/1000*Lähtötiedot!Q5*Lähtötiedot!T5</f>
        <v>#REF!</v>
      </c>
      <c r="L45" s="8" t="e">
        <f>#REF!*'Päästökertoimet ja niiden laatu'!B12*Lähtötiedot!F5/1000*Lähtötiedot!Q5*'Päästökertoimet ja niiden laatu'!B17*Lähtötiedot!T5</f>
        <v>#REF!</v>
      </c>
      <c r="M45" s="8">
        <f ca="1">'Palveluntarjoajien lähtötiedot'!C7*Lähtötiedot!F5*Lähtötiedot!Q5*'Päästökertoimet ja niiden laatu'!B21*Lähtötiedot!T5</f>
        <v>826.50319266055067</v>
      </c>
      <c r="N45" s="8">
        <f ca="1">'Palveluntarjoajien lähtötiedot'!F7*Lähtötiedot!F5*Lähtötiedot!Q5*'Päästökertoimet ja niiden laatu'!B23*'Päästökertoimet ja niiden laatu'!B25*'Päästökertoimet ja niiden laatu'!B26*'Palveluntarjoajien lähtötiedot'!G7*Lähtötiedot!T5</f>
        <v>5068.9193532019781</v>
      </c>
      <c r="O45" s="8">
        <f ca="1">'Palveluntarjoajien lähtötiedot'!F7*Lähtötiedot!F5*Lähtötiedot!Q5*'Palveluntarjoajien lähtötiedot'!H7*'Päästökertoimet ja niiden laatu'!B28*'Päästökertoimet ja niiden laatu'!B29*Lähtötiedot!T5</f>
        <v>0.3951815286542138</v>
      </c>
      <c r="P45" s="8" t="e">
        <f>#REF!*'Päästökertoimet ja niiden laatu'!B11*Lähtötiedot!F5/1000*Lähtötiedot!Q5*Lähtötiedot!T5</f>
        <v>#REF!</v>
      </c>
      <c r="Q45" s="8" t="e">
        <f>#REF!*'Päästökertoimet ja niiden laatu'!B12*Lähtötiedot!F5/1000*Lähtötiedot!Q5*'Päästökertoimet ja niiden laatu'!B17*Lähtötiedot!T5</f>
        <v>#REF!</v>
      </c>
      <c r="R45" s="19" t="e">
        <f t="shared" ref="R45:R50" si="0">SUM(B45:Q45)</f>
        <v>#REF!</v>
      </c>
      <c r="S45" s="10" t="e">
        <f>R45/Lähtötiedot!$L$5</f>
        <v>#REF!</v>
      </c>
      <c r="T45" s="49" t="e">
        <f ca="1">B45+C45+D45*$T$11+E45+F45+G45+H45+I45*$T$11+J45+K45+L45+M45+N45+O45+P45+Q45</f>
        <v>#REF!</v>
      </c>
      <c r="U45" s="10" t="e">
        <f ca="1">T45/Lähtötiedot!$L$5</f>
        <v>#REF!</v>
      </c>
      <c r="V45" s="50"/>
      <c r="W45" s="10" t="e">
        <f>R45/(Lähtötiedot!Q5*Lähtötiedot!F23)</f>
        <v>#REF!</v>
      </c>
    </row>
    <row r="46" spans="1:39" ht="12.5" hidden="1" outlineLevel="1">
      <c r="A46" s="48" t="s">
        <v>203</v>
      </c>
      <c r="B46" s="8">
        <f>(Lähtötiedot!F16*'Päästökertoimet ja niiden laatu'!B7)*Lähtötiedot!Q5*Lähtötiedot!R5</f>
        <v>22068.383119266062</v>
      </c>
      <c r="C46" s="8">
        <f>Lähtötiedot!F15*'Päästökertoimet ja niiden laatu'!B8*'Päästökertoimet ja niiden laatu'!B17*Lähtötiedot!Q5*Lähtötiedot!R5</f>
        <v>5986.7775941284417</v>
      </c>
      <c r="D46" s="8">
        <f>Lähtötiedot!Q5*Lähtötiedot!F5*'Kotikonemallien lähtötiedot'!H6*'Päästökertoimet ja niiden laatu'!B21*Lähtötiedot!R5</f>
        <v>698.06968788275958</v>
      </c>
      <c r="E46" s="8">
        <f>Lähtötiedot!Q5*Lähtötiedot!F5*'Kotikonemallien lähtötiedot'!M6*'Päästökertoimet ja niiden laatu'!B21*Lähtötiedot!U5*Lähtötiedot!R5</f>
        <v>1294.5496435124512</v>
      </c>
      <c r="F46" s="19">
        <f>Lähtötiedot!Q5*Lähtötiedot!F5*'Kotikonemallien lähtötiedot'!U6*'Päästökertoimet ja niiden laatu'!B22*Lähtötiedot!R5*Lähtötiedot!V5</f>
        <v>1500.8036697247708</v>
      </c>
      <c r="G46" s="8">
        <f>(Lähtötiedot!F16*'Päästökertoimet ja niiden laatu'!B7)*Lähtötiedot!Q5*Lähtötiedot!R5</f>
        <v>22068.383119266062</v>
      </c>
      <c r="H46" s="19">
        <f>Lähtötiedot!F15*'Päästökertoimet ja niiden laatu'!B8*'Päästökertoimet ja niiden laatu'!B17*Lähtötiedot!Q5*Lähtötiedot!R5</f>
        <v>5986.7775941284417</v>
      </c>
      <c r="I46" s="19">
        <f>Lähtötiedot!S5*Lähtötiedot!Q5*Lähtötiedot!F5*'Kotikonemallien lähtötiedot'!H6*'Päästökertoimet ja niiden laatu'!B21</f>
        <v>698.06968788275958</v>
      </c>
      <c r="J46" s="19">
        <f>Lähtötiedot!F5*Lähtötiedot!Q5*Lähtötiedot!S5*'Kotikonemallien lähtötiedot'!R6*'Päästökertoimet ja niiden laatu'!B21</f>
        <v>4541.0175412844037</v>
      </c>
      <c r="K46" s="19" t="e">
        <f>#REF!*'Päästökertoimet ja niiden laatu'!B11*Lähtötiedot!F5/1000*Lähtötiedot!Q5*Lähtötiedot!T5</f>
        <v>#REF!</v>
      </c>
      <c r="L46" s="8" t="e">
        <f>#REF!*'Päästökertoimet ja niiden laatu'!B12*Lähtötiedot!F5/1000*Lähtötiedot!Q5*'Päästökertoimet ja niiden laatu'!B17*Lähtötiedot!T5</f>
        <v>#REF!</v>
      </c>
      <c r="M46" s="8">
        <f ca="1">'Palveluntarjoajien lähtötiedot'!C7*Lähtötiedot!F5*Lähtötiedot!Q5*'Päästökertoimet ja niiden laatu'!B21*Lähtötiedot!T5</f>
        <v>826.50319266055067</v>
      </c>
      <c r="N46" s="8">
        <f ca="1">'Palveluntarjoajien lähtötiedot'!F7*Lähtötiedot!F5*Lähtötiedot!Q5*'Päästökertoimet ja niiden laatu'!B23*'Päästökertoimet ja niiden laatu'!B25*'Päästökertoimet ja niiden laatu'!B26*'Palveluntarjoajien lähtötiedot'!G7*Lähtötiedot!T5</f>
        <v>5068.9193532019781</v>
      </c>
      <c r="O46" s="8">
        <f ca="1">'Palveluntarjoajien lähtötiedot'!F7*Lähtötiedot!F5*Lähtötiedot!Q5*'Palveluntarjoajien lähtötiedot'!H7*'Päästökertoimet ja niiden laatu'!B28*'Päästökertoimet ja niiden laatu'!B29*Lähtötiedot!T5</f>
        <v>0.3951815286542138</v>
      </c>
      <c r="P46" s="8" t="e">
        <f>#REF!*'Päästökertoimet ja niiden laatu'!B11*Lähtötiedot!F5/1000*Lähtötiedot!Q5*Lähtötiedot!T5</f>
        <v>#REF!</v>
      </c>
      <c r="Q46" s="8" t="e">
        <f>#REF!*'Päästökertoimet ja niiden laatu'!B12*Lähtötiedot!F5/1000*Lähtötiedot!Q5*'Päästökertoimet ja niiden laatu'!B17*Lähtötiedot!T5</f>
        <v>#REF!</v>
      </c>
      <c r="R46" s="19" t="e">
        <f t="shared" si="0"/>
        <v>#REF!</v>
      </c>
      <c r="S46" s="10" t="e">
        <f>R46/Lähtötiedot!$L$5</f>
        <v>#REF!</v>
      </c>
      <c r="T46" s="49" t="e">
        <f ca="1">B46+C46+D46*$T$11+E46+F46+G46+H46+I46*$T$11+J46+K46+L46+M46+N46+O46+P46+Q46</f>
        <v>#REF!</v>
      </c>
      <c r="U46" s="10" t="e">
        <f ca="1">T46/Lähtötiedot!$L$5</f>
        <v>#REF!</v>
      </c>
      <c r="V46" s="50"/>
      <c r="W46" s="10" t="e">
        <f>R46/(Lähtötiedot!Q5*Lähtötiedot!F23)</f>
        <v>#REF!</v>
      </c>
    </row>
    <row r="47" spans="1:39" ht="13">
      <c r="A47" s="51" t="s">
        <v>204</v>
      </c>
      <c r="B47" s="52">
        <v>0</v>
      </c>
      <c r="C47" s="52">
        <v>0</v>
      </c>
      <c r="D47" s="53">
        <f>Lähtötiedot!Q5*Lähtötiedot!F5*'Kotikonemallien lähtötiedot'!H6*'Päästökertoimet ja niiden laatu'!B21*Lähtötiedot!R5</f>
        <v>698.06968788275958</v>
      </c>
      <c r="E47" s="53">
        <f>Lähtötiedot!Q5*Lähtötiedot!F5*'Kotikonemallien lähtötiedot'!M6*'Päästökertoimet ja niiden laatu'!B21*Lähtötiedot!U5*Lähtötiedot!R5</f>
        <v>1294.5496435124512</v>
      </c>
      <c r="F47" s="52">
        <f>Lähtötiedot!Q5*Lähtötiedot!F5*'Kotikonemallien lähtötiedot'!U6*'Päästökertoimet ja niiden laatu'!B22*Lähtötiedot!R5*Lähtötiedot!V5</f>
        <v>1500.8036697247708</v>
      </c>
      <c r="G47" s="52">
        <v>0</v>
      </c>
      <c r="H47" s="52">
        <v>0</v>
      </c>
      <c r="I47" s="52">
        <f>Lähtötiedot!S5*Lähtötiedot!Q5*Lähtötiedot!F5*'Kotikonemallien lähtötiedot'!H6*'Päästökertoimet ja niiden laatu'!B21</f>
        <v>698.06968788275958</v>
      </c>
      <c r="J47" s="52">
        <f>Lähtötiedot!F5*Lähtötiedot!Q5*Lähtötiedot!S5*'Kotikonemallien lähtötiedot'!R6*'Päästökertoimet ja niiden laatu'!B21</f>
        <v>4541.0175412844037</v>
      </c>
      <c r="K47" s="52">
        <f>Lähtötiedot!F18*'Päästökertoimet ja niiden laatu'!B11*Lähtötiedot!F5/1000*Lähtötiedot!Q5*Lähtötiedot!T5</f>
        <v>1.2734091743119269</v>
      </c>
      <c r="L47" s="53">
        <f>Lähtötiedot!F18*'Päästökertoimet ja niiden laatu'!B12*Lähtötiedot!F5/1000*Lähtötiedot!Q5*'Päästökertoimet ja niiden laatu'!B17*Lähtötiedot!T5</f>
        <v>0.33844386055045877</v>
      </c>
      <c r="M47" s="53">
        <f ca="1">'Palveluntarjoajien lähtötiedot'!C7*Lähtötiedot!F5*Lähtötiedot!Q5*'Päästökertoimet ja niiden laatu'!B21*Lähtötiedot!T5</f>
        <v>826.50319266055067</v>
      </c>
      <c r="N47" s="53">
        <f ca="1">'Palveluntarjoajien lähtötiedot'!F7*Lähtötiedot!F5*Lähtötiedot!Q5*'Päästökertoimet ja niiden laatu'!B23*'Päästökertoimet ja niiden laatu'!B25*'Päästökertoimet ja niiden laatu'!B26*'Palveluntarjoajien lähtötiedot'!G7*Lähtötiedot!T5</f>
        <v>5068.9193532019781</v>
      </c>
      <c r="O47" s="53">
        <f ca="1">'Palveluntarjoajien lähtötiedot'!F7*Lähtötiedot!F5*Lähtötiedot!Q5*'Palveluntarjoajien lähtötiedot'!H7*'Päästökertoimet ja niiden laatu'!B28*'Päästökertoimet ja niiden laatu'!B29*Lähtötiedot!T5</f>
        <v>0.3951815286542138</v>
      </c>
      <c r="P47" s="53">
        <f>Lähtötiedot!F18*'Päästökertoimet ja niiden laatu'!B11*Lähtötiedot!F5/1000*Lähtötiedot!Q5*Lähtötiedot!T5</f>
        <v>1.2734091743119269</v>
      </c>
      <c r="Q47" s="53">
        <f>Lähtötiedot!F18*'Päästökertoimet ja niiden laatu'!B12*Lähtötiedot!F5/1000*Lähtötiedot!Q5*'Päästökertoimet ja niiden laatu'!B17*Lähtötiedot!T5</f>
        <v>0.33844386055045877</v>
      </c>
      <c r="R47" s="52">
        <f t="shared" ca="1" si="0"/>
        <v>14631.551663748052</v>
      </c>
      <c r="S47" s="10">
        <f ca="1">R47/Lähtötiedot!$L$5/1000</f>
        <v>29.263103327496104</v>
      </c>
      <c r="T47" s="55">
        <f ca="1">B47+C47+D47*$T$11+E47+F47+G47+H47+I47*$T$11+J47+K47+L47+M47+N47+O47+P47+Q47</f>
        <v>16027.691039513569</v>
      </c>
      <c r="V47" s="56"/>
      <c r="W47" s="47">
        <f ca="1">R47/(Lähtötiedot!Q5*Lähtötiedot!F23)</f>
        <v>7.5098451114487597E-2</v>
      </c>
      <c r="X47" s="89"/>
      <c r="Y47" s="89"/>
      <c r="Z47" s="89"/>
      <c r="AA47" s="89"/>
      <c r="AB47" s="89"/>
      <c r="AC47" s="89"/>
      <c r="AD47" s="89"/>
      <c r="AE47" s="89"/>
      <c r="AF47" s="89"/>
      <c r="AG47" s="89"/>
      <c r="AH47" s="89"/>
      <c r="AI47" s="89"/>
      <c r="AJ47" s="89"/>
      <c r="AK47" s="89"/>
      <c r="AL47" s="89"/>
      <c r="AM47" s="89"/>
    </row>
    <row r="48" spans="1:39" ht="13">
      <c r="A48" s="51" t="s">
        <v>205</v>
      </c>
      <c r="B48" s="47">
        <f>B47/Lähtötiedot!$L$5/1000</f>
        <v>0</v>
      </c>
      <c r="C48" s="47">
        <f>C47/Lähtötiedot!$L$5/1000</f>
        <v>0</v>
      </c>
      <c r="D48" s="47">
        <f>D47/Lähtötiedot!$L$5/1000</f>
        <v>1.3961393757655192</v>
      </c>
      <c r="E48" s="47">
        <f>E47/Lähtötiedot!$L$5/1000</f>
        <v>2.5890992870249026</v>
      </c>
      <c r="F48" s="47">
        <f>F47/Lähtötiedot!$L$5/1000</f>
        <v>3.0016073394495417</v>
      </c>
      <c r="G48" s="47">
        <f>G47/Lähtötiedot!$L$5/1000</f>
        <v>0</v>
      </c>
      <c r="H48" s="47">
        <f>H47/Lähtötiedot!$L$5/1000</f>
        <v>0</v>
      </c>
      <c r="I48" s="47">
        <f>I47/Lähtötiedot!$L$5/1000</f>
        <v>1.3961393757655192</v>
      </c>
      <c r="J48" s="47">
        <f>J47/Lähtötiedot!$L$5/1000</f>
        <v>9.0820350825688081</v>
      </c>
      <c r="K48" s="47">
        <f>K47/Lähtötiedot!$L$5/1000</f>
        <v>2.5468183486238539E-3</v>
      </c>
      <c r="L48" s="47">
        <f>L47/Lähtötiedot!$L$5/1000</f>
        <v>6.7688772110091752E-4</v>
      </c>
      <c r="M48" s="47">
        <f ca="1">M47/Lähtötiedot!$L$5/1000</f>
        <v>1.6530063853211012</v>
      </c>
      <c r="N48" s="47">
        <f ca="1">N47/Lähtötiedot!$L$5/1000</f>
        <v>10.137838706403956</v>
      </c>
      <c r="O48" s="47">
        <f ca="1">O47/Lähtötiedot!$L$5/1000</f>
        <v>7.9036305730842762E-4</v>
      </c>
      <c r="P48" s="47">
        <f>P47/Lähtötiedot!$L$5/1000</f>
        <v>2.5468183486238539E-3</v>
      </c>
      <c r="Q48" s="47">
        <f>Q47/Lähtötiedot!$L$5/1000</f>
        <v>6.7688772110091752E-4</v>
      </c>
      <c r="R48" s="57">
        <f t="shared" ca="1" si="0"/>
        <v>29.263103327496108</v>
      </c>
      <c r="S48" s="47"/>
      <c r="T48" s="55"/>
      <c r="U48" s="47">
        <f ca="1">T47/Lähtötiedot!$L$5/1000</f>
        <v>32.05538207902714</v>
      </c>
      <c r="V48" s="56"/>
      <c r="W48" s="47"/>
      <c r="X48" s="89"/>
      <c r="Y48" s="89"/>
      <c r="Z48" s="89"/>
      <c r="AA48" s="89"/>
      <c r="AB48" s="89"/>
      <c r="AC48" s="89"/>
      <c r="AD48" s="89"/>
      <c r="AE48" s="89"/>
      <c r="AF48" s="89"/>
      <c r="AG48" s="89"/>
      <c r="AH48" s="89"/>
      <c r="AI48" s="89"/>
      <c r="AJ48" s="89"/>
      <c r="AK48" s="89"/>
      <c r="AL48" s="89"/>
      <c r="AM48" s="89"/>
    </row>
    <row r="49" spans="1:39" ht="13">
      <c r="A49" s="58" t="s">
        <v>206</v>
      </c>
      <c r="B49" s="53">
        <f>B47</f>
        <v>0</v>
      </c>
      <c r="C49" s="53">
        <f>C47</f>
        <v>0</v>
      </c>
      <c r="D49" s="53">
        <f>Lähtötiedot!Q5*Lähtötiedot!F5*'Kotikonemallien lähtötiedot'!H6*'Päästökertoimet ja niiden laatu'!B20*Lähtötiedot!R5</f>
        <v>54.459337352555714</v>
      </c>
      <c r="E49" s="53">
        <f>Lähtötiedot!Q5*Lähtötiedot!F5*'Kotikonemallien lähtötiedot'!M6*'Päästökertoimet ja niiden laatu'!B20*Lähtötiedot!U5*Lähtötiedot!R5</f>
        <v>100.99323460026216</v>
      </c>
      <c r="F49" s="52">
        <f>F47</f>
        <v>1500.8036697247708</v>
      </c>
      <c r="G49" s="53">
        <f>G47</f>
        <v>0</v>
      </c>
      <c r="H49" s="52">
        <f>H47</f>
        <v>0</v>
      </c>
      <c r="I49" s="52">
        <f>Lähtötiedot!S5*Lähtötiedot!Q5*Lähtötiedot!F5*'Kotikonemallien lähtötiedot'!H6*'Päästökertoimet ja niiden laatu'!B20</f>
        <v>54.459337352555714</v>
      </c>
      <c r="J49" s="52">
        <f>Lähtötiedot!F5*Lähtötiedot!Q5*Lähtötiedot!S5*'Kotikonemallien lähtötiedot'!R6*'Päästökertoimet ja niiden laatu'!B20</f>
        <v>354.26377981651376</v>
      </c>
      <c r="K49" s="52">
        <f>K47</f>
        <v>1.2734091743119269</v>
      </c>
      <c r="L49" s="53">
        <f>L47</f>
        <v>0.33844386055045877</v>
      </c>
      <c r="M49" s="53">
        <f ca="1">'Palveluntarjoajien lähtötiedot'!C7*Lähtötiedot!F5*Lähtötiedot!Q5*'Päästökertoimet ja niiden laatu'!B20*Lähtötiedot!T5</f>
        <v>64.478972477064232</v>
      </c>
      <c r="N49" s="59">
        <f>'Palveluntarjoajien lähtötiedot'!F7*Lähtötiedot!F5*Lähtötiedot!Q5*'Päästökertoimet ja niiden laatu'!B23*'Päästökertoimet ja niiden laatu'!B25*'Päästökertoimet ja niiden laatu'!B26*V11*Lähtötiedot!T5</f>
        <v>0</v>
      </c>
      <c r="O49" s="53">
        <f>'Palveluntarjoajien lähtötiedot'!F7*Lähtötiedot!F5*Lähtötiedot!Q5*V10*'Päästökertoimet ja niiden laatu'!B28*'Päästökertoimet ja niiden laatu'!B29*Lähtötiedot!T5</f>
        <v>59.277229298132141</v>
      </c>
      <c r="P49" s="53">
        <f>P47</f>
        <v>1.2734091743119269</v>
      </c>
      <c r="Q49" s="53">
        <f>Q47</f>
        <v>0.33844386055045877</v>
      </c>
      <c r="R49" s="60">
        <f t="shared" ca="1" si="0"/>
        <v>2191.9592666915792</v>
      </c>
      <c r="S49" s="61">
        <f ca="1">R49/Lähtötiedot!$L$5/1000</f>
        <v>4.3839185333831585</v>
      </c>
      <c r="T49" s="55"/>
      <c r="U49" s="47"/>
      <c r="V49" s="56"/>
      <c r="W49" s="90"/>
      <c r="X49" s="14"/>
      <c r="Y49" s="14"/>
      <c r="Z49" s="14"/>
      <c r="AA49" s="14"/>
      <c r="AB49" s="14"/>
      <c r="AC49" s="14"/>
      <c r="AD49" s="14"/>
      <c r="AE49" s="14"/>
      <c r="AF49" s="14"/>
      <c r="AG49" s="14"/>
      <c r="AH49" s="14"/>
      <c r="AI49" s="14"/>
      <c r="AJ49" s="14"/>
      <c r="AK49" s="14"/>
      <c r="AL49" s="14"/>
      <c r="AM49" s="14"/>
    </row>
    <row r="50" spans="1:39" ht="13">
      <c r="A50" s="51" t="s">
        <v>207</v>
      </c>
      <c r="B50" s="8"/>
      <c r="C50" s="8"/>
      <c r="D50" s="8">
        <f>Lähtötiedot!F5*Lähtötiedot!Q5*'Kotikonemallien lähtötiedot'!I6*Lähtötiedot!R5</f>
        <v>299.85561625163831</v>
      </c>
      <c r="E50" s="8"/>
      <c r="F50" s="19"/>
      <c r="G50" s="8"/>
      <c r="H50" s="19"/>
      <c r="I50" s="19">
        <f>Lähtötiedot!F5*Lähtötiedot!Q5*'Kotikonemallien lähtötiedot'!I6*Lähtötiedot!S5</f>
        <v>299.85561625163831</v>
      </c>
      <c r="J50" s="19"/>
      <c r="K50" s="19"/>
      <c r="M50" s="8">
        <f>'Palveluntarjoajien lähtötiedot'!I7*Lähtötiedot!F5*Lähtötiedot!Q5*Lähtötiedot!T5</f>
        <v>124.30899082568811</v>
      </c>
      <c r="R50" s="87">
        <f t="shared" si="0"/>
        <v>724.02022332896468</v>
      </c>
      <c r="S50" s="87">
        <f>R50/Lähtötiedot!$L$5</f>
        <v>1448.0404466579294</v>
      </c>
      <c r="T50" s="55"/>
      <c r="U50" s="47"/>
      <c r="V50" s="56"/>
      <c r="W50" s="90">
        <f>R50/(Lähtötiedot!Q5*Lähtötiedot!F23)</f>
        <v>3.7161333669270169E-3</v>
      </c>
    </row>
    <row r="51" spans="1:39" ht="12.5">
      <c r="A51" s="48"/>
      <c r="B51" s="8"/>
      <c r="C51" s="8"/>
      <c r="D51" s="8"/>
      <c r="E51" s="8"/>
      <c r="F51" s="19"/>
      <c r="G51" s="8"/>
      <c r="H51" s="19"/>
      <c r="I51" s="19"/>
      <c r="J51" s="19"/>
      <c r="K51" s="19"/>
      <c r="R51" s="19"/>
      <c r="S51" s="10"/>
      <c r="T51" s="49"/>
      <c r="U51" s="10"/>
      <c r="V51" s="50"/>
      <c r="W51" s="10"/>
    </row>
    <row r="52" spans="1:39" ht="13">
      <c r="A52" s="332" t="str">
        <f>(Lähtötiedot!B5&amp;", "&amp;Lähtötiedot!C6)</f>
        <v>Toimija 2, Toimija 2 vaate 2</v>
      </c>
      <c r="B52" s="329" t="str">
        <f>Lähtötiedot!C6</f>
        <v>Toimija 2 vaate 2</v>
      </c>
      <c r="C52" s="302"/>
      <c r="D52" s="302"/>
      <c r="E52" s="302"/>
      <c r="F52" s="302"/>
      <c r="G52" s="302"/>
      <c r="H52" s="302"/>
      <c r="I52" s="302"/>
      <c r="J52" s="302"/>
      <c r="K52" s="302"/>
      <c r="L52" s="302"/>
      <c r="M52" s="302"/>
      <c r="N52" s="302"/>
      <c r="O52" s="302"/>
      <c r="P52" s="302"/>
      <c r="Q52" s="302"/>
      <c r="R52" s="302"/>
      <c r="S52" s="69"/>
      <c r="T52" s="42"/>
      <c r="U52" s="45"/>
      <c r="V52" s="70"/>
      <c r="W52" s="332" t="s">
        <v>216</v>
      </c>
    </row>
    <row r="53" spans="1:39" ht="13" collapsed="1">
      <c r="A53" s="302"/>
      <c r="B53" s="1" t="s">
        <v>192</v>
      </c>
      <c r="C53" s="1" t="s">
        <v>193</v>
      </c>
      <c r="D53" s="1" t="s">
        <v>194</v>
      </c>
      <c r="E53" s="1" t="s">
        <v>195</v>
      </c>
      <c r="F53" s="1" t="s">
        <v>196</v>
      </c>
      <c r="G53" s="1" t="s">
        <v>197</v>
      </c>
      <c r="H53" s="1" t="s">
        <v>193</v>
      </c>
      <c r="I53" s="1" t="s">
        <v>198</v>
      </c>
      <c r="J53" s="1" t="s">
        <v>199</v>
      </c>
      <c r="K53" s="1" t="s">
        <v>210</v>
      </c>
      <c r="L53" s="1" t="s">
        <v>193</v>
      </c>
      <c r="M53" s="1" t="s">
        <v>211</v>
      </c>
      <c r="N53" s="1" t="s">
        <v>212</v>
      </c>
      <c r="O53" s="1" t="s">
        <v>213</v>
      </c>
      <c r="P53" s="1" t="s">
        <v>214</v>
      </c>
      <c r="Q53" s="1" t="s">
        <v>193</v>
      </c>
      <c r="R53" s="1" t="s">
        <v>200</v>
      </c>
      <c r="S53" s="47" t="s">
        <v>201</v>
      </c>
      <c r="T53" s="71"/>
      <c r="U53" s="47"/>
      <c r="V53" s="72"/>
      <c r="W53" s="302"/>
    </row>
    <row r="54" spans="1:39" ht="12.5" hidden="1" outlineLevel="1">
      <c r="A54" s="48" t="s">
        <v>202</v>
      </c>
      <c r="B54" s="8">
        <f>(Lähtötiedot!F16*'Päästökertoimet ja niiden laatu'!B9)*Lähtötiedot!Q6*Lähtötiedot!R6</f>
        <v>379742.74348623864</v>
      </c>
      <c r="C54" s="8">
        <f>(Lähtötiedot!F16*'Päästökertoimet ja niiden laatu'!B10*'Päästökertoimet ja niiden laatu'!B17)*Lähtötiedot!Q6*Lähtötiedot!R6</f>
        <v>100032.23321834864</v>
      </c>
      <c r="D54" s="8">
        <f>Lähtötiedot!Q6*Lähtötiedot!F6*'Kotikonemallien lähtötiedot'!H6*'Päästökertoimet ja niiden laatu'!B21*Lähtötiedot!R6</f>
        <v>4188.4181272965579</v>
      </c>
      <c r="E54" s="8">
        <f>Lähtötiedot!Q6*Lähtötiedot!F6*'Kotikonemallien lähtötiedot'!M6*'Päästökertoimet ja niiden laatu'!B21*Lähtötiedot!U6*Lähtötiedot!R6</f>
        <v>7767.2978610747059</v>
      </c>
      <c r="F54" s="19">
        <f>Lähtötiedot!Q6*Lähtötiedot!F6*'Kotikonemallien lähtötiedot'!U6*'Päästökertoimet ja niiden laatu'!B22*Lähtötiedot!R6*Lähtötiedot!V6</f>
        <v>9004.8220183486246</v>
      </c>
      <c r="G54" s="8">
        <f>(Lähtötiedot!F16*'Päästökertoimet ja niiden laatu'!B9)*Lähtötiedot!Q6*Lähtötiedot!R6</f>
        <v>379742.74348623864</v>
      </c>
      <c r="H54" s="19">
        <f>(Lähtötiedot!F16*'Päästökertoimet ja niiden laatu'!B10*'Päästökertoimet ja niiden laatu'!B17)*Lähtötiedot!Q6*Lähtötiedot!R6</f>
        <v>100032.23321834864</v>
      </c>
      <c r="I54" s="19">
        <f>Lähtötiedot!S6*Lähtötiedot!Q6*Lähtötiedot!F6*'Kotikonemallien lähtötiedot'!H6*'Päästökertoimet ja niiden laatu'!B21</f>
        <v>4188.418127296557</v>
      </c>
      <c r="J54" s="19">
        <f>Lähtötiedot!F6*Lähtötiedot!Q6*Lähtötiedot!S6*'Kotikonemallien lähtötiedot'!R6*'Päästökertoimet ja niiden laatu'!B21</f>
        <v>27246.105247706422</v>
      </c>
      <c r="K54" s="19" t="e">
        <f>#REF!*'Päästökertoimet ja niiden laatu'!B11*Lähtötiedot!F6/1000*Lähtötiedot!Q6*Lähtötiedot!T6</f>
        <v>#REF!</v>
      </c>
      <c r="L54" s="8" t="e">
        <f>#REF!*'Päästökertoimet ja niiden laatu'!B12*Lähtötiedot!F6/1000*Lähtötiedot!Q6*'Päästökertoimet ja niiden laatu'!B17*Lähtötiedot!T6</f>
        <v>#REF!</v>
      </c>
      <c r="M54" s="8">
        <f ca="1">'Palveluntarjoajien lähtötiedot'!C7*Lähtötiedot!F6*Lähtötiedot!Q6*'Päästökertoimet ja niiden laatu'!B21*Lähtötiedot!T6</f>
        <v>4959.019155963304</v>
      </c>
      <c r="N54" s="8">
        <f ca="1">'Palveluntarjoajien lähtötiedot'!F7*Lähtötiedot!F6*Lähtötiedot!Q6*'Päästökertoimet ja niiden laatu'!B23*'Päästökertoimet ja niiden laatu'!B25*'Päästökertoimet ja niiden laatu'!B26*'Palveluntarjoajien lähtötiedot'!G7*Lähtötiedot!T6</f>
        <v>30413.516119211872</v>
      </c>
      <c r="O54" s="8">
        <f ca="1">'Palveluntarjoajien lähtötiedot'!F7*Lähtötiedot!F6*Lähtötiedot!Q6*'Palveluntarjoajien lähtötiedot'!H7*'Päästökertoimet ja niiden laatu'!B28*'Päästökertoimet ja niiden laatu'!B29*Lähtötiedot!T6</f>
        <v>2.3710891719252825</v>
      </c>
      <c r="P54" s="8" t="e">
        <f>#REF!*'Päästökertoimet ja niiden laatu'!B11*Lähtötiedot!F6/1000*Lähtötiedot!Q6*Lähtötiedot!T6</f>
        <v>#REF!</v>
      </c>
      <c r="Q54" s="8" t="e">
        <f>#REF!*'Päästökertoimet ja niiden laatu'!B12*Lähtötiedot!F6/1000*Lähtötiedot!Q6*'Päästökertoimet ja niiden laatu'!B17*Lähtötiedot!T6</f>
        <v>#REF!</v>
      </c>
      <c r="R54" s="19" t="e">
        <f t="shared" ref="R54:R59" si="1">SUM(B54:Q54)</f>
        <v>#REF!</v>
      </c>
      <c r="S54" s="10" t="e">
        <f>R54/Lähtötiedot!$L$6</f>
        <v>#REF!</v>
      </c>
      <c r="T54" s="49" t="e">
        <f ca="1">B54+C54+D54*$T$11+E54+F54+G54+H54+I54*$T$11+J54+K54+L54+M54+N54+O54+P54+Q54</f>
        <v>#REF!</v>
      </c>
      <c r="U54" s="10" t="e">
        <f ca="1">T54/Lähtötiedot!$L$6</f>
        <v>#REF!</v>
      </c>
      <c r="V54" s="50"/>
      <c r="W54" s="10" t="e">
        <f>R54/(Lähtötiedot!Q6*Lähtötiedot!F23)</f>
        <v>#REF!</v>
      </c>
    </row>
    <row r="55" spans="1:39" ht="12.5" hidden="1" outlineLevel="1">
      <c r="A55" s="48" t="s">
        <v>203</v>
      </c>
      <c r="B55" s="8">
        <f>(Lähtötiedot!F16*'Päästökertoimet ja niiden laatu'!B7)*Lähtötiedot!Q6*Lähtötiedot!R6</f>
        <v>132410.29871559638</v>
      </c>
      <c r="C55" s="8">
        <f>Lähtötiedot!F15*'Päästökertoimet ja niiden laatu'!B8*'Päästökertoimet ja niiden laatu'!B17*Lähtötiedot!Q6*Lähtötiedot!R6</f>
        <v>35920.66556477065</v>
      </c>
      <c r="D55" s="8">
        <f>Lähtötiedot!Q6*Lähtötiedot!F6*'Kotikonemallien lähtötiedot'!H6*'Päästökertoimet ja niiden laatu'!B21*Lähtötiedot!R6</f>
        <v>4188.4181272965579</v>
      </c>
      <c r="E55" s="8">
        <f>Lähtötiedot!Q6*Lähtötiedot!F6*'Kotikonemallien lähtötiedot'!M6*'Päästökertoimet ja niiden laatu'!B21*Lähtötiedot!U6*Lähtötiedot!R6</f>
        <v>7767.2978610747059</v>
      </c>
      <c r="F55" s="19">
        <f>Lähtötiedot!Q6*Lähtötiedot!F6*'Kotikonemallien lähtötiedot'!U6*'Päästökertoimet ja niiden laatu'!B22*Lähtötiedot!R6*Lähtötiedot!V6</f>
        <v>9004.8220183486246</v>
      </c>
      <c r="G55" s="8">
        <f>(Lähtötiedot!F16*'Päästökertoimet ja niiden laatu'!B7)*Lähtötiedot!Q6*Lähtötiedot!R6</f>
        <v>132410.29871559638</v>
      </c>
      <c r="H55" s="19">
        <f>Lähtötiedot!F15*'Päästökertoimet ja niiden laatu'!B8*'Päästökertoimet ja niiden laatu'!B17*Lähtötiedot!Q6*Lähtötiedot!R6</f>
        <v>35920.66556477065</v>
      </c>
      <c r="I55" s="19">
        <f>Lähtötiedot!S6*Lähtötiedot!Q6*Lähtötiedot!F6*'Kotikonemallien lähtötiedot'!H6*'Päästökertoimet ja niiden laatu'!B21</f>
        <v>4188.418127296557</v>
      </c>
      <c r="J55" s="19">
        <f>Lähtötiedot!F6*Lähtötiedot!Q6*Lähtötiedot!S6*'Kotikonemallien lähtötiedot'!R6*'Päästökertoimet ja niiden laatu'!B21</f>
        <v>27246.105247706422</v>
      </c>
      <c r="K55" s="19" t="e">
        <f>#REF!*'Päästökertoimet ja niiden laatu'!B11*Lähtötiedot!F6/1000*Lähtötiedot!Q6*Lähtötiedot!T6</f>
        <v>#REF!</v>
      </c>
      <c r="L55" s="8" t="e">
        <f>#REF!*'Päästökertoimet ja niiden laatu'!B12*Lähtötiedot!F6/1000*Lähtötiedot!Q6*'Päästökertoimet ja niiden laatu'!B17*Lähtötiedot!T6</f>
        <v>#REF!</v>
      </c>
      <c r="M55" s="8">
        <f ca="1">'Palveluntarjoajien lähtötiedot'!C7*Lähtötiedot!F6*Lähtötiedot!Q6*'Päästökertoimet ja niiden laatu'!B21*Lähtötiedot!T6</f>
        <v>4959.019155963304</v>
      </c>
      <c r="N55" s="8">
        <f ca="1">'Palveluntarjoajien lähtötiedot'!F7*Lähtötiedot!F6*Lähtötiedot!Q6*'Päästökertoimet ja niiden laatu'!B23*'Päästökertoimet ja niiden laatu'!B25*'Päästökertoimet ja niiden laatu'!B26*'Palveluntarjoajien lähtötiedot'!G7*Lähtötiedot!T6</f>
        <v>30413.516119211872</v>
      </c>
      <c r="O55" s="8">
        <f ca="1">'Palveluntarjoajien lähtötiedot'!F7*Lähtötiedot!F6*Lähtötiedot!Q6*'Palveluntarjoajien lähtötiedot'!H7*'Päästökertoimet ja niiden laatu'!B28*'Päästökertoimet ja niiden laatu'!B29*Lähtötiedot!T6</f>
        <v>2.3710891719252825</v>
      </c>
      <c r="P55" s="8" t="e">
        <f>#REF!*'Päästökertoimet ja niiden laatu'!B11*Lähtötiedot!F6/1000*Lähtötiedot!Q6*Lähtötiedot!T6</f>
        <v>#REF!</v>
      </c>
      <c r="Q55" s="8" t="e">
        <f>#REF!*'Päästökertoimet ja niiden laatu'!B12*Lähtötiedot!F6/1000*Lähtötiedot!Q6*'Päästökertoimet ja niiden laatu'!B17*Lähtötiedot!T6</f>
        <v>#REF!</v>
      </c>
      <c r="R55" s="19" t="e">
        <f t="shared" si="1"/>
        <v>#REF!</v>
      </c>
      <c r="S55" s="10" t="e">
        <f>R55/Lähtötiedot!$L$6</f>
        <v>#REF!</v>
      </c>
      <c r="T55" s="49" t="e">
        <f ca="1">B55+C55+D55*$T$11+E55+F55+G55+H55+I55*$T$11+J55+K55+L55+M55+N55+O55+P55+Q55</f>
        <v>#REF!</v>
      </c>
      <c r="U55" s="10" t="e">
        <f ca="1">T55/Lähtötiedot!$L$6</f>
        <v>#REF!</v>
      </c>
      <c r="V55" s="50"/>
      <c r="W55" s="10" t="e">
        <f>R55/(Lähtötiedot!Q6*Lähtötiedot!F23)</f>
        <v>#REF!</v>
      </c>
    </row>
    <row r="56" spans="1:39" ht="13">
      <c r="A56" s="51" t="s">
        <v>204</v>
      </c>
      <c r="B56" s="52">
        <v>0</v>
      </c>
      <c r="C56" s="52">
        <v>0</v>
      </c>
      <c r="D56" s="53">
        <f>Lähtötiedot!Q6*Lähtötiedot!F6*'Kotikonemallien lähtötiedot'!H6*'Päästökertoimet ja niiden laatu'!B21*Lähtötiedot!R6</f>
        <v>4188.4181272965579</v>
      </c>
      <c r="E56" s="53">
        <f>Lähtötiedot!Q6*Lähtötiedot!F6*'Kotikonemallien lähtötiedot'!M6*'Päästökertoimet ja niiden laatu'!B21*Lähtötiedot!U6*Lähtötiedot!R6</f>
        <v>7767.2978610747059</v>
      </c>
      <c r="F56" s="52">
        <f>Lähtötiedot!Q6*Lähtötiedot!F6*'Kotikonemallien lähtötiedot'!U6*'Päästökertoimet ja niiden laatu'!B22*Lähtötiedot!R6*Lähtötiedot!V6</f>
        <v>9004.8220183486246</v>
      </c>
      <c r="G56" s="52">
        <v>0</v>
      </c>
      <c r="H56" s="52">
        <v>0</v>
      </c>
      <c r="I56" s="52">
        <f>Lähtötiedot!S6*Lähtötiedot!Q6*Lähtötiedot!F6*'Kotikonemallien lähtötiedot'!H6*'Päästökertoimet ja niiden laatu'!B21</f>
        <v>4188.418127296557</v>
      </c>
      <c r="J56" s="52">
        <f>Lähtötiedot!F6*Lähtötiedot!Q6*Lähtötiedot!S6*'Kotikonemallien lähtötiedot'!R6*'Päästökertoimet ja niiden laatu'!B21</f>
        <v>27246.105247706422</v>
      </c>
      <c r="K56" s="52">
        <f>Lähtötiedot!F18*'Päästökertoimet ja niiden laatu'!B11*Lähtötiedot!F6/1000*Lähtötiedot!Q6*Lähtötiedot!T6</f>
        <v>7.640455045871561</v>
      </c>
      <c r="L56" s="53">
        <f>Lähtötiedot!F18*'Päästökertoimet ja niiden laatu'!B12*Lähtötiedot!F6/1000*Lähtötiedot!Q6*'Päästökertoimet ja niiden laatu'!B17*Lähtötiedot!T6</f>
        <v>2.0306631633027528</v>
      </c>
      <c r="M56" s="53">
        <f ca="1">'Palveluntarjoajien lähtötiedot'!C7*Lähtötiedot!F6*Lähtötiedot!Q6*'Päästökertoimet ja niiden laatu'!B21*Lähtötiedot!T6</f>
        <v>4959.019155963304</v>
      </c>
      <c r="N56" s="53">
        <f ca="1">'Palveluntarjoajien lähtötiedot'!F7*Lähtötiedot!F6*Lähtötiedot!Q6*'Päästökertoimet ja niiden laatu'!B23*'Päästökertoimet ja niiden laatu'!B25*'Päästökertoimet ja niiden laatu'!B26*'Palveluntarjoajien lähtötiedot'!G7*Lähtötiedot!T6</f>
        <v>30413.516119211872</v>
      </c>
      <c r="O56" s="53">
        <f ca="1">'Palveluntarjoajien lähtötiedot'!F7*Lähtötiedot!F6*Lähtötiedot!Q6*'Palveluntarjoajien lähtötiedot'!H7*'Päästökertoimet ja niiden laatu'!B28*'Päästökertoimet ja niiden laatu'!B29*Lähtötiedot!T6</f>
        <v>2.3710891719252825</v>
      </c>
      <c r="P56" s="53">
        <f>Lähtötiedot!F18*'Päästökertoimet ja niiden laatu'!B11*Lähtötiedot!F6/1000*Lähtötiedot!Q6*Lähtötiedot!T6</f>
        <v>7.640455045871561</v>
      </c>
      <c r="Q56" s="53">
        <f>Lähtötiedot!F18*'Päästökertoimet ja niiden laatu'!B12*Lähtötiedot!F6/1000*Lähtötiedot!Q6*'Päästökertoimet ja niiden laatu'!B17*Lähtötiedot!T6</f>
        <v>2.0306631633027528</v>
      </c>
      <c r="R56" s="52">
        <f t="shared" ca="1" si="1"/>
        <v>87789.309982488296</v>
      </c>
      <c r="S56" s="10">
        <f ca="1">R56/Lähtötiedot!$L$6/1000</f>
        <v>29.263103327496097</v>
      </c>
      <c r="T56" s="55">
        <f ca="1">B56+C56+D56*$T$11+E56+F56+G56+H56+I56*$T$11+J56+K56+L56+M56+N56+O56+P56+Q56</f>
        <v>96166.146237081412</v>
      </c>
      <c r="V56" s="56"/>
      <c r="W56" s="47">
        <f ca="1">R56/(Lähtötiedot!Q6*Lähtötiedot!F23)</f>
        <v>7.5098451114487583E-2</v>
      </c>
      <c r="X56" s="89"/>
      <c r="Y56" s="89"/>
      <c r="Z56" s="89"/>
      <c r="AA56" s="89"/>
      <c r="AB56" s="89"/>
      <c r="AC56" s="89"/>
      <c r="AD56" s="89"/>
      <c r="AE56" s="89"/>
      <c r="AF56" s="89"/>
      <c r="AG56" s="89"/>
      <c r="AH56" s="89"/>
      <c r="AI56" s="89"/>
      <c r="AJ56" s="89"/>
      <c r="AK56" s="89"/>
      <c r="AL56" s="89"/>
      <c r="AM56" s="89"/>
    </row>
    <row r="57" spans="1:39" ht="13">
      <c r="A57" s="51" t="s">
        <v>205</v>
      </c>
      <c r="B57" s="47">
        <f>B56/Lähtötiedot!$L$6/1000</f>
        <v>0</v>
      </c>
      <c r="C57" s="47">
        <f>C56/Lähtötiedot!$L$6/1000</f>
        <v>0</v>
      </c>
      <c r="D57" s="47">
        <f>D56/Lähtötiedot!$L$6/1000</f>
        <v>1.3961393757655194</v>
      </c>
      <c r="E57" s="47">
        <f>E56/Lähtötiedot!$L$6/1000</f>
        <v>2.5890992870249021</v>
      </c>
      <c r="F57" s="47">
        <f>F56/Lähtötiedot!$L$6/1000</f>
        <v>3.0016073394495417</v>
      </c>
      <c r="G57" s="47">
        <f>G56/Lähtötiedot!$L$6/1000</f>
        <v>0</v>
      </c>
      <c r="H57" s="47">
        <f>H56/Lähtötiedot!$L$6/1000</f>
        <v>0</v>
      </c>
      <c r="I57" s="47">
        <f>I56/Lähtötiedot!$L$6/1000</f>
        <v>1.3961393757655189</v>
      </c>
      <c r="J57" s="47">
        <f>J56/Lähtötiedot!$L$6/1000</f>
        <v>9.0820350825688081</v>
      </c>
      <c r="K57" s="47">
        <f>K56/Lähtötiedot!$L$6/1000</f>
        <v>2.5468183486238539E-3</v>
      </c>
      <c r="L57" s="47">
        <f>L56/Lähtötiedot!$L$6/1000</f>
        <v>6.7688772110091752E-4</v>
      </c>
      <c r="M57" s="47">
        <f ca="1">M56/Lähtötiedot!$L$6/1000</f>
        <v>1.6530063853211012</v>
      </c>
      <c r="N57" s="47">
        <f ca="1">N56/Lähtötiedot!$L$6/1000</f>
        <v>10.137838706403958</v>
      </c>
      <c r="O57" s="47">
        <f ca="1">O56/Lähtötiedot!$L$6/1000</f>
        <v>7.9036305730842752E-4</v>
      </c>
      <c r="P57" s="47">
        <f>P56/Lähtötiedot!$L$6/1000</f>
        <v>2.5468183486238539E-3</v>
      </c>
      <c r="Q57" s="47">
        <f>Q56/Lähtötiedot!$L$6/1000</f>
        <v>6.7688772110091752E-4</v>
      </c>
      <c r="R57" s="57">
        <f t="shared" ca="1" si="1"/>
        <v>29.263103327496111</v>
      </c>
      <c r="S57" s="47"/>
      <c r="T57" s="55"/>
      <c r="U57" s="47">
        <f ca="1">T56/Lähtötiedot!$L$6/1000</f>
        <v>32.05538207902714</v>
      </c>
      <c r="V57" s="56"/>
      <c r="W57" s="47"/>
      <c r="X57" s="89"/>
      <c r="Y57" s="89"/>
      <c r="Z57" s="89"/>
      <c r="AA57" s="89"/>
      <c r="AB57" s="89"/>
      <c r="AC57" s="89"/>
      <c r="AD57" s="89"/>
      <c r="AE57" s="89"/>
      <c r="AF57" s="89"/>
      <c r="AG57" s="89"/>
      <c r="AH57" s="89"/>
      <c r="AI57" s="89"/>
      <c r="AJ57" s="89"/>
      <c r="AK57" s="89"/>
      <c r="AL57" s="89"/>
      <c r="AM57" s="89"/>
    </row>
    <row r="58" spans="1:39" ht="13">
      <c r="A58" s="58" t="s">
        <v>206</v>
      </c>
      <c r="B58" s="52">
        <f>B56</f>
        <v>0</v>
      </c>
      <c r="C58" s="52">
        <f>C56</f>
        <v>0</v>
      </c>
      <c r="D58" s="53">
        <f>Lähtötiedot!Q6*Lähtötiedot!F6*'Kotikonemallien lähtötiedot'!H6*'Päästökertoimet ja niiden laatu'!B20*Lähtötiedot!R6</f>
        <v>326.7560241153343</v>
      </c>
      <c r="E58" s="53">
        <f>Lähtötiedot!Q6*Lähtötiedot!F6*'Kotikonemallien lähtötiedot'!M6*'Päästökertoimet ja niiden laatu'!B20*Lähtötiedot!U6*Lähtötiedot!R6</f>
        <v>605.95940760157282</v>
      </c>
      <c r="F58" s="52">
        <f>F56</f>
        <v>9004.8220183486246</v>
      </c>
      <c r="G58" s="52">
        <f>G56</f>
        <v>0</v>
      </c>
      <c r="H58" s="52">
        <f>H56</f>
        <v>0</v>
      </c>
      <c r="I58" s="52">
        <f>Lähtötiedot!S6*Lähtötiedot!Q6*Lähtötiedot!F6*'Kotikonemallien lähtötiedot'!H6*'Päästökertoimet ja niiden laatu'!B20</f>
        <v>326.75602411533424</v>
      </c>
      <c r="J58" s="52">
        <f>Lähtötiedot!F6*Lähtötiedot!Q6*Lähtötiedot!S6*'Kotikonemallien lähtötiedot'!R6*'Päästökertoimet ja niiden laatu'!B20</f>
        <v>2125.5826788990826</v>
      </c>
      <c r="K58" s="52">
        <f>K56</f>
        <v>7.640455045871561</v>
      </c>
      <c r="L58" s="53">
        <f>L56</f>
        <v>2.0306631633027528</v>
      </c>
      <c r="M58" s="53">
        <f ca="1">'Palveluntarjoajien lähtötiedot'!C7*Lähtötiedot!F6*Lähtötiedot!Q6*'Päästökertoimet ja niiden laatu'!B20*Lähtötiedot!T6</f>
        <v>386.87383486238537</v>
      </c>
      <c r="N58" s="53">
        <f>'Palveluntarjoajien lähtötiedot'!F7*Lähtötiedot!F6*Lähtötiedot!Q6*'Päästökertoimet ja niiden laatu'!B23*'Päästökertoimet ja niiden laatu'!B25*'Päästökertoimet ja niiden laatu'!B26*V11*Lähtötiedot!T6</f>
        <v>0</v>
      </c>
      <c r="O58" s="53">
        <f>'Palveluntarjoajien lähtötiedot'!F7*Lähtötiedot!F6*Lähtötiedot!Q6*V10*'Päästökertoimet ja niiden laatu'!B28*'Päästökertoimet ja niiden laatu'!B29*Lähtötiedot!T6</f>
        <v>355.66337578879279</v>
      </c>
      <c r="P58" s="53">
        <f>P56</f>
        <v>7.640455045871561</v>
      </c>
      <c r="Q58" s="53">
        <f>Q56</f>
        <v>2.0306631633027528</v>
      </c>
      <c r="R58" s="60">
        <f t="shared" ca="1" si="1"/>
        <v>13151.755600149476</v>
      </c>
      <c r="S58" s="61">
        <f ca="1">R58/Lähtötiedot!$L$6/1000</f>
        <v>4.3839185333831585</v>
      </c>
      <c r="T58" s="55"/>
      <c r="U58" s="47"/>
      <c r="V58" s="56"/>
      <c r="W58" s="47"/>
      <c r="X58" s="89"/>
      <c r="Y58" s="89"/>
      <c r="Z58" s="89"/>
      <c r="AA58" s="89"/>
      <c r="AB58" s="89"/>
      <c r="AC58" s="89"/>
      <c r="AD58" s="89"/>
      <c r="AE58" s="89"/>
      <c r="AF58" s="89"/>
      <c r="AG58" s="89"/>
      <c r="AH58" s="89"/>
      <c r="AI58" s="89"/>
      <c r="AJ58" s="89"/>
      <c r="AK58" s="89"/>
      <c r="AL58" s="89"/>
      <c r="AM58" s="89"/>
    </row>
    <row r="59" spans="1:39" ht="13">
      <c r="A59" s="51" t="s">
        <v>207</v>
      </c>
      <c r="D59" s="8">
        <f>Lähtötiedot!F6*Lähtötiedot!Q6*'Kotikonemallien lähtötiedot'!I6*Lähtötiedot!R6</f>
        <v>1799.1336975098297</v>
      </c>
      <c r="I59" s="8">
        <f>Lähtötiedot!F6*Lähtötiedot!Q6*'Kotikonemallien lähtötiedot'!I6*Lähtötiedot!S6</f>
        <v>1799.1336975098297</v>
      </c>
      <c r="M59" s="8">
        <f>'Palveluntarjoajien lähtötiedot'!I7*Lähtötiedot!F6*Lähtötiedot!Q6*Lähtötiedot!T6</f>
        <v>745.85394495412856</v>
      </c>
      <c r="R59" s="65">
        <f t="shared" si="1"/>
        <v>4344.1213399737881</v>
      </c>
      <c r="S59" s="87">
        <f>R59/Lähtötiedot!$L$6</f>
        <v>1448.0404466579294</v>
      </c>
      <c r="T59" s="62"/>
      <c r="U59" s="57"/>
      <c r="V59" s="63"/>
      <c r="W59" s="91">
        <f>R59/(Lähtötiedot!Q6*Lähtötiedot!F23)</f>
        <v>3.7161333669270174E-3</v>
      </c>
    </row>
    <row r="60" spans="1:39" ht="12.5">
      <c r="S60" s="92"/>
      <c r="T60" s="93"/>
      <c r="U60" s="92"/>
      <c r="V60" s="94"/>
    </row>
    <row r="61" spans="1:39" ht="13">
      <c r="A61" s="332" t="str">
        <f>(Lähtötiedot!B5&amp;", "&amp;Lähtötiedot!C7)</f>
        <v>Toimija 2, Toimija 2 vaate 3</v>
      </c>
      <c r="B61" s="329" t="str">
        <f>Lähtötiedot!C7</f>
        <v>Toimija 2 vaate 3</v>
      </c>
      <c r="C61" s="302"/>
      <c r="D61" s="302"/>
      <c r="E61" s="302"/>
      <c r="F61" s="302"/>
      <c r="G61" s="302"/>
      <c r="H61" s="302"/>
      <c r="I61" s="302"/>
      <c r="J61" s="302"/>
      <c r="K61" s="302"/>
      <c r="L61" s="302"/>
      <c r="M61" s="302"/>
      <c r="N61" s="302"/>
      <c r="O61" s="302"/>
      <c r="P61" s="302"/>
      <c r="Q61" s="302"/>
      <c r="R61" s="302"/>
      <c r="S61" s="69"/>
      <c r="T61" s="42"/>
      <c r="U61" s="45"/>
      <c r="V61" s="70"/>
      <c r="W61" s="332" t="s">
        <v>217</v>
      </c>
    </row>
    <row r="62" spans="1:39" ht="13" collapsed="1">
      <c r="A62" s="302"/>
      <c r="B62" s="1" t="s">
        <v>192</v>
      </c>
      <c r="C62" s="1" t="s">
        <v>193</v>
      </c>
      <c r="D62" s="1" t="s">
        <v>194</v>
      </c>
      <c r="E62" s="1" t="s">
        <v>195</v>
      </c>
      <c r="F62" s="1" t="s">
        <v>196</v>
      </c>
      <c r="G62" s="1" t="s">
        <v>197</v>
      </c>
      <c r="H62" s="1" t="s">
        <v>193</v>
      </c>
      <c r="I62" s="1" t="s">
        <v>198</v>
      </c>
      <c r="J62" s="1" t="s">
        <v>199</v>
      </c>
      <c r="K62" s="1" t="s">
        <v>210</v>
      </c>
      <c r="L62" s="1" t="s">
        <v>193</v>
      </c>
      <c r="M62" s="1" t="s">
        <v>211</v>
      </c>
      <c r="N62" s="1" t="s">
        <v>212</v>
      </c>
      <c r="O62" s="1" t="s">
        <v>213</v>
      </c>
      <c r="P62" s="1" t="s">
        <v>214</v>
      </c>
      <c r="Q62" s="1" t="s">
        <v>193</v>
      </c>
      <c r="R62" s="1" t="s">
        <v>200</v>
      </c>
      <c r="S62" s="47" t="s">
        <v>201</v>
      </c>
      <c r="T62" s="71"/>
      <c r="U62" s="47"/>
      <c r="V62" s="72"/>
      <c r="W62" s="302"/>
    </row>
    <row r="63" spans="1:39" ht="12.5" hidden="1" outlineLevel="1">
      <c r="A63" s="48" t="s">
        <v>202</v>
      </c>
      <c r="B63" s="8">
        <f>(Lähtötiedot!F16*'Päästökertoimet ja niiden laatu'!B9)*Lähtötiedot!Q7*Lähtötiedot!R7</f>
        <v>189871.37174311932</v>
      </c>
      <c r="C63" s="8">
        <f>(Lähtötiedot!F16*'Päästökertoimet ja niiden laatu'!B10*'Päästökertoimet ja niiden laatu'!B17)*Lähtötiedot!Q7*Lähtötiedot!R7</f>
        <v>50016.116609174322</v>
      </c>
      <c r="D63" s="8">
        <f>Lähtötiedot!Q7*Lähtötiedot!F7*'Kotikonemallien lähtötiedot'!H6*'Päästökertoimet ja niiden laatu'!B21*Lähtötiedot!R7</f>
        <v>2094.209063648279</v>
      </c>
      <c r="E63" s="8">
        <f>Lähtötiedot!Q7*Lähtötiedot!F7*'Kotikonemallien lähtötiedot'!M6*'Päästökertoimet ja niiden laatu'!B21*Lähtötiedot!U7*Lähtötiedot!R7</f>
        <v>3883.648930537353</v>
      </c>
      <c r="F63" s="19">
        <f>Lähtötiedot!Q7*Lähtötiedot!F7*'Kotikonemallien lähtötiedot'!U6*'Päästökertoimet ja niiden laatu'!B22*Lähtötiedot!R7*Lähtötiedot!V7</f>
        <v>4502.4110091743123</v>
      </c>
      <c r="G63" s="8">
        <f>(Lähtötiedot!F16*'Päästökertoimet ja niiden laatu'!B9)*Lähtötiedot!Q7*Lähtötiedot!R7</f>
        <v>189871.37174311932</v>
      </c>
      <c r="H63" s="19">
        <f>(Lähtötiedot!F16*'Päästökertoimet ja niiden laatu'!B10*'Päästökertoimet ja niiden laatu'!B17)*Lähtötiedot!Q7*Lähtötiedot!R7</f>
        <v>50016.116609174322</v>
      </c>
      <c r="I63" s="19">
        <f>Lähtötiedot!S7*Lähtötiedot!Q7*Lähtötiedot!F7*'Kotikonemallien lähtötiedot'!H6*'Päästökertoimet ja niiden laatu'!B21</f>
        <v>2094.2090636482785</v>
      </c>
      <c r="J63" s="19">
        <f>Lähtötiedot!F7*Lähtötiedot!Q7*Lähtötiedot!S7*'Kotikonemallien lähtötiedot'!R6*'Päästökertoimet ja niiden laatu'!B21</f>
        <v>13623.052623853211</v>
      </c>
      <c r="K63" s="19" t="e">
        <f>#REF!*'Päästökertoimet ja niiden laatu'!B11*Lähtötiedot!F7/1000*Lähtötiedot!Q7*Lähtötiedot!T7</f>
        <v>#REF!</v>
      </c>
      <c r="L63" s="8" t="e">
        <f>#REF!*'Päästökertoimet ja niiden laatu'!B12*Lähtötiedot!F7/1000*Lähtötiedot!Q7*'Päästökertoimet ja niiden laatu'!B17*Lähtötiedot!T7</f>
        <v>#REF!</v>
      </c>
      <c r="M63" s="8">
        <f ca="1">'Palveluntarjoajien lähtötiedot'!C7*Lähtötiedot!F7*Lähtötiedot!Q7*'Päästökertoimet ja niiden laatu'!B21*Lähtötiedot!T7</f>
        <v>2479.509577981652</v>
      </c>
      <c r="N63" s="8">
        <f ca="1">'Palveluntarjoajien lähtötiedot'!F7*Lähtötiedot!F7*Lähtötiedot!Q7*'Päästökertoimet ja niiden laatu'!B23*'Päästökertoimet ja niiden laatu'!B25*'Päästökertoimet ja niiden laatu'!B26*'Palveluntarjoajien lähtötiedot'!G7*Lähtötiedot!T7</f>
        <v>15206.758059605936</v>
      </c>
      <c r="O63" s="8">
        <f ca="1">'Palveluntarjoajien lähtötiedot'!F7*Lähtötiedot!F7*Lähtötiedot!Q7*'Palveluntarjoajien lähtötiedot'!H7*'Päästökertoimet ja niiden laatu'!B28*'Päästökertoimet ja niiden laatu'!B29*Lähtötiedot!T7</f>
        <v>1.1855445859626412</v>
      </c>
      <c r="P63" s="8" t="e">
        <f>#REF!*'Päästökertoimet ja niiden laatu'!B11*Lähtötiedot!F7/1000*Lähtötiedot!Q7*Lähtötiedot!T7</f>
        <v>#REF!</v>
      </c>
      <c r="Q63" s="8" t="e">
        <f>#REF!*'Päästökertoimet ja niiden laatu'!B12*Lähtötiedot!F7/1000*Lähtötiedot!Q7*'Päästökertoimet ja niiden laatu'!B17*Lähtötiedot!T7</f>
        <v>#REF!</v>
      </c>
      <c r="R63" s="19" t="e">
        <f t="shared" ref="R63:R68" si="2">SUM(B63:Q63)</f>
        <v>#REF!</v>
      </c>
      <c r="S63" s="10" t="e">
        <f>R63/Lähtötiedot!$L$7</f>
        <v>#REF!</v>
      </c>
      <c r="T63" s="49" t="e">
        <f ca="1">B63+C63+D63*$T$11+E63+F63+G63+H63+I63*$T$11+J63+K63+L63+M63+N63+O63+P63+Q63</f>
        <v>#REF!</v>
      </c>
      <c r="U63" s="10" t="e">
        <f ca="1">T63/Lähtötiedot!$L$7</f>
        <v>#REF!</v>
      </c>
      <c r="V63" s="50"/>
      <c r="W63" s="10" t="e">
        <f>R63/(Lähtötiedot!Q7*Lähtötiedot!F23)</f>
        <v>#REF!</v>
      </c>
    </row>
    <row r="64" spans="1:39" ht="12.5" hidden="1" outlineLevel="1">
      <c r="A64" s="48" t="s">
        <v>203</v>
      </c>
      <c r="B64" s="8">
        <f>(Lähtötiedot!F16*'Päästökertoimet ja niiden laatu'!B7)*Lähtötiedot!Q7*Lähtötiedot!R7</f>
        <v>66205.149357798189</v>
      </c>
      <c r="C64" s="8">
        <f>Lähtötiedot!F15*'Päästökertoimet ja niiden laatu'!B8*'Päästökertoimet ja niiden laatu'!B17*Lähtötiedot!Q7*Lähtötiedot!R7</f>
        <v>17960.332782385325</v>
      </c>
      <c r="D64" s="8">
        <f>Lähtötiedot!Q7*Lähtötiedot!F7*'Kotikonemallien lähtötiedot'!H6*'Päästökertoimet ja niiden laatu'!B21*Lähtötiedot!R7</f>
        <v>2094.209063648279</v>
      </c>
      <c r="E64" s="8">
        <f>Lähtötiedot!Q7*Lähtötiedot!F7*'Kotikonemallien lähtötiedot'!M6*'Päästökertoimet ja niiden laatu'!B21*Lähtötiedot!U7*Lähtötiedot!R7</f>
        <v>3883.648930537353</v>
      </c>
      <c r="F64" s="19">
        <f>Lähtötiedot!Q7*Lähtötiedot!F7*'Kotikonemallien lähtötiedot'!U6*'Päästökertoimet ja niiden laatu'!B22*Lähtötiedot!R7*Lähtötiedot!V7</f>
        <v>4502.4110091743123</v>
      </c>
      <c r="G64" s="8">
        <f>(Lähtötiedot!F16*'Päästökertoimet ja niiden laatu'!B7)*Lähtötiedot!Q7*Lähtötiedot!R7</f>
        <v>66205.149357798189</v>
      </c>
      <c r="H64" s="19">
        <f>Lähtötiedot!F15*'Päästökertoimet ja niiden laatu'!B8*'Päästökertoimet ja niiden laatu'!B17*Lähtötiedot!Q7*Lähtötiedot!R7</f>
        <v>17960.332782385325</v>
      </c>
      <c r="I64" s="19">
        <f>Lähtötiedot!S7*Lähtötiedot!Q7*Lähtötiedot!F7*'Kotikonemallien lähtötiedot'!H6*'Päästökertoimet ja niiden laatu'!B21</f>
        <v>2094.2090636482785</v>
      </c>
      <c r="J64" s="19">
        <f>Lähtötiedot!F7*Lähtötiedot!Q7*Lähtötiedot!S7*'Kotikonemallien lähtötiedot'!R6*'Päästökertoimet ja niiden laatu'!B21</f>
        <v>13623.052623853211</v>
      </c>
      <c r="K64" s="19" t="e">
        <f>#REF!*'Päästökertoimet ja niiden laatu'!B11*Lähtötiedot!F7/1000*Lähtötiedot!Q7*Lähtötiedot!T7</f>
        <v>#REF!</v>
      </c>
      <c r="L64" s="8" t="e">
        <f>#REF!*'Päästökertoimet ja niiden laatu'!B12*Lähtötiedot!F7/1000*Lähtötiedot!Q7*'Päästökertoimet ja niiden laatu'!B17*Lähtötiedot!T7</f>
        <v>#REF!</v>
      </c>
      <c r="M64" s="8">
        <f ca="1">'Palveluntarjoajien lähtötiedot'!C7*Lähtötiedot!F7*Lähtötiedot!Q7*'Päästökertoimet ja niiden laatu'!B21*Lähtötiedot!T7</f>
        <v>2479.509577981652</v>
      </c>
      <c r="N64" s="8">
        <f ca="1">'Palveluntarjoajien lähtötiedot'!F7*Lähtötiedot!F7*Lähtötiedot!Q7*'Päästökertoimet ja niiden laatu'!B23*'Päästökertoimet ja niiden laatu'!B25*'Päästökertoimet ja niiden laatu'!B26*'Palveluntarjoajien lähtötiedot'!G7*Lähtötiedot!T7</f>
        <v>15206.758059605936</v>
      </c>
      <c r="O64" s="8">
        <f ca="1">'Palveluntarjoajien lähtötiedot'!F7*Lähtötiedot!F7*Lähtötiedot!Q7*'Palveluntarjoajien lähtötiedot'!H7*'Päästökertoimet ja niiden laatu'!B28*'Päästökertoimet ja niiden laatu'!B29*Lähtötiedot!T7</f>
        <v>1.1855445859626412</v>
      </c>
      <c r="P64" s="8" t="e">
        <f>#REF!*'Päästökertoimet ja niiden laatu'!B11*Lähtötiedot!F7/1000*Lähtötiedot!Q7*Lähtötiedot!T7</f>
        <v>#REF!</v>
      </c>
      <c r="Q64" s="8" t="e">
        <f>#REF!*'Päästökertoimet ja niiden laatu'!B12*Lähtötiedot!F7/1000*Lähtötiedot!Q7*'Päästökertoimet ja niiden laatu'!B17*Lähtötiedot!T7</f>
        <v>#REF!</v>
      </c>
      <c r="R64" s="19" t="e">
        <f t="shared" si="2"/>
        <v>#REF!</v>
      </c>
      <c r="S64" s="10" t="e">
        <f>R64/Lähtötiedot!$L$7</f>
        <v>#REF!</v>
      </c>
      <c r="T64" s="49" t="e">
        <f ca="1">B64+C64+D64*$T$11+E64+F64+G64+H64+I64*$T$11+J64+K64+L64+M64+N64+O64+P64+Q64</f>
        <v>#REF!</v>
      </c>
      <c r="U64" s="10" t="e">
        <f ca="1">T64/Lähtötiedot!$L$7</f>
        <v>#REF!</v>
      </c>
      <c r="V64" s="50"/>
      <c r="W64" s="10" t="e">
        <f>R64/(Lähtötiedot!Q7*Lähtötiedot!F23)</f>
        <v>#REF!</v>
      </c>
    </row>
    <row r="65" spans="1:39" ht="13">
      <c r="A65" s="51" t="s">
        <v>204</v>
      </c>
      <c r="B65" s="52">
        <v>0</v>
      </c>
      <c r="C65" s="52">
        <v>0</v>
      </c>
      <c r="D65" s="53">
        <f>Lähtötiedot!Q7*Lähtötiedot!F7*'Kotikonemallien lähtötiedot'!H6*'Päästökertoimet ja niiden laatu'!B21*Lähtötiedot!R7</f>
        <v>2094.209063648279</v>
      </c>
      <c r="E65" s="53">
        <f>Lähtötiedot!Q7*Lähtötiedot!F7*'Kotikonemallien lähtötiedot'!M6*'Päästökertoimet ja niiden laatu'!B21*Lähtötiedot!U7*Lähtötiedot!R7</f>
        <v>3883.648930537353</v>
      </c>
      <c r="F65" s="52">
        <f>Lähtötiedot!Q7*Lähtötiedot!F7*'Kotikonemallien lähtötiedot'!U6*'Päästökertoimet ja niiden laatu'!B22*Lähtötiedot!R7*Lähtötiedot!V7</f>
        <v>4502.4110091743123</v>
      </c>
      <c r="G65" s="52">
        <f>(Lähtötiedot!F18*'Päästökertoimet ja niiden laatu'!B15)*Lähtötiedot!Q11*Lähtötiedot!R11</f>
        <v>0</v>
      </c>
      <c r="H65" s="52">
        <v>0</v>
      </c>
      <c r="I65" s="52">
        <f>Lähtötiedot!S7*Lähtötiedot!Q7*Lähtötiedot!F7*'Kotikonemallien lähtötiedot'!H6*'Päästökertoimet ja niiden laatu'!B21</f>
        <v>2094.2090636482785</v>
      </c>
      <c r="J65" s="52">
        <f>Lähtötiedot!F7*Lähtötiedot!Q7*Lähtötiedot!S7*'Kotikonemallien lähtötiedot'!R6*'Päästökertoimet ja niiden laatu'!B21</f>
        <v>13623.052623853211</v>
      </c>
      <c r="K65" s="52">
        <f>Lähtötiedot!F18*'Päästökertoimet ja niiden laatu'!B11*Lähtötiedot!F7/1000*Lähtötiedot!Q7*Lähtötiedot!T7</f>
        <v>3.8202275229357805</v>
      </c>
      <c r="L65" s="53">
        <f>Lähtötiedot!F18*'Päästökertoimet ja niiden laatu'!B12*Lähtötiedot!F7/1000*Lähtötiedot!Q7*'Päästökertoimet ja niiden laatu'!B17*Lähtötiedot!T7</f>
        <v>1.0153315816513764</v>
      </c>
      <c r="M65" s="53">
        <f ca="1">'Palveluntarjoajien lähtötiedot'!C7*Lähtötiedot!F7*Lähtötiedot!Q7*'Päästökertoimet ja niiden laatu'!B21*Lähtötiedot!T7</f>
        <v>2479.509577981652</v>
      </c>
      <c r="N65" s="53">
        <f ca="1">'Palveluntarjoajien lähtötiedot'!F7*Lähtötiedot!F7*Lähtötiedot!Q7*'Päästökertoimet ja niiden laatu'!B23*'Päästökertoimet ja niiden laatu'!B25*'Päästökertoimet ja niiden laatu'!B26*'Palveluntarjoajien lähtötiedot'!G7*Lähtötiedot!T7</f>
        <v>15206.758059605936</v>
      </c>
      <c r="O65" s="53">
        <f ca="1">'Palveluntarjoajien lähtötiedot'!F7*Lähtötiedot!F7*Lähtötiedot!Q7*'Palveluntarjoajien lähtötiedot'!H7*'Päästökertoimet ja niiden laatu'!B28*'Päästökertoimet ja niiden laatu'!B29*Lähtötiedot!T7</f>
        <v>1.1855445859626412</v>
      </c>
      <c r="P65" s="53">
        <f>Lähtötiedot!F18*'Päästökertoimet ja niiden laatu'!B11*Lähtötiedot!F7/1000*Lähtötiedot!Q7*Lähtötiedot!T7</f>
        <v>3.8202275229357805</v>
      </c>
      <c r="Q65" s="53">
        <f>Lähtötiedot!F18*'Päästökertoimet ja niiden laatu'!B12*Lähtötiedot!F7/1000*Lähtötiedot!Q7*'Päästökertoimet ja niiden laatu'!B17*Lähtötiedot!T7</f>
        <v>1.0153315816513764</v>
      </c>
      <c r="R65" s="52">
        <f t="shared" ca="1" si="2"/>
        <v>43894.654991244148</v>
      </c>
      <c r="S65" s="10">
        <f ca="1">R65/Lähtötiedot!$L$7/1000</f>
        <v>14.631551663748048</v>
      </c>
      <c r="T65" s="55">
        <f ca="1">B65+C65+D65*$T$11+E65+F65+G65+H65+I65*$T$11+J65+K65+L65+M65+N65+O65+P65+Q65</f>
        <v>48083.073118540706</v>
      </c>
      <c r="V65" s="56"/>
      <c r="W65" s="47">
        <f ca="1">R65/(Lähtötiedot!Q7*Lähtötiedot!F23)</f>
        <v>7.5098451114487583E-2</v>
      </c>
      <c r="X65" s="89"/>
      <c r="Y65" s="89"/>
      <c r="Z65" s="89"/>
      <c r="AA65" s="89"/>
      <c r="AB65" s="89"/>
      <c r="AC65" s="89"/>
      <c r="AD65" s="89"/>
      <c r="AE65" s="89"/>
      <c r="AF65" s="89"/>
      <c r="AG65" s="89"/>
      <c r="AH65" s="89"/>
      <c r="AI65" s="89"/>
      <c r="AJ65" s="89"/>
      <c r="AK65" s="89"/>
      <c r="AL65" s="89"/>
      <c r="AM65" s="89"/>
    </row>
    <row r="66" spans="1:39" ht="13">
      <c r="A66" s="51" t="s">
        <v>205</v>
      </c>
      <c r="B66" s="47">
        <f>B65/Lähtötiedot!$L$7/1000</f>
        <v>0</v>
      </c>
      <c r="C66" s="47">
        <f>C65/Lähtötiedot!$L$7/1000</f>
        <v>0</v>
      </c>
      <c r="D66" s="47">
        <f>D65/Lähtötiedot!$L$7/1000</f>
        <v>0.69806968788275969</v>
      </c>
      <c r="E66" s="47">
        <f>E65/Lähtötiedot!$L$7/1000</f>
        <v>1.2945496435124511</v>
      </c>
      <c r="F66" s="47">
        <f>F65/Lähtötiedot!$L$7/1000</f>
        <v>1.5008036697247709</v>
      </c>
      <c r="G66" s="47">
        <f>G65/Lähtötiedot!$L$7/1000</f>
        <v>0</v>
      </c>
      <c r="H66" s="47">
        <f>H65/Lähtötiedot!$L$7/1000</f>
        <v>0</v>
      </c>
      <c r="I66" s="47">
        <f>I65/Lähtötiedot!$L$7/1000</f>
        <v>0.69806968788275947</v>
      </c>
      <c r="J66" s="47">
        <f>J65/Lähtötiedot!$L$7/1000</f>
        <v>4.541017541284404</v>
      </c>
      <c r="K66" s="47">
        <f>K65/Lähtötiedot!$L$7/1000</f>
        <v>1.273409174311927E-3</v>
      </c>
      <c r="L66" s="47">
        <f>L65/Lähtötiedot!$L$7/1000</f>
        <v>3.3844386055045876E-4</v>
      </c>
      <c r="M66" s="47">
        <f ca="1">M65/Lähtötiedot!$L$7/1000</f>
        <v>0.82650319266055061</v>
      </c>
      <c r="N66" s="47">
        <f ca="1">N65/Lähtötiedot!$L$7/1000</f>
        <v>5.068919353201979</v>
      </c>
      <c r="O66" s="47">
        <f ca="1">O65/Lähtötiedot!$L$7/1000</f>
        <v>3.9518152865421376E-4</v>
      </c>
      <c r="P66" s="47">
        <f>P65/Lähtötiedot!$L$7/1000</f>
        <v>1.273409174311927E-3</v>
      </c>
      <c r="Q66" s="47">
        <f>Q65/Lähtötiedot!$L$7/1000</f>
        <v>3.3844386055045876E-4</v>
      </c>
      <c r="R66" s="57">
        <f t="shared" ca="1" si="2"/>
        <v>14.631551663748056</v>
      </c>
      <c r="S66" s="47"/>
      <c r="T66" s="55"/>
      <c r="U66" s="47">
        <f ca="1">T65/Lähtötiedot!$L$7/1000</f>
        <v>16.02769103951357</v>
      </c>
      <c r="V66" s="56"/>
      <c r="W66" s="47"/>
      <c r="X66" s="89"/>
      <c r="Y66" s="89"/>
      <c r="Z66" s="89"/>
      <c r="AA66" s="89"/>
      <c r="AB66" s="89"/>
      <c r="AC66" s="89"/>
      <c r="AD66" s="89"/>
      <c r="AE66" s="89"/>
      <c r="AF66" s="89"/>
      <c r="AG66" s="89"/>
      <c r="AH66" s="89"/>
      <c r="AI66" s="89"/>
      <c r="AJ66" s="89"/>
      <c r="AK66" s="89"/>
      <c r="AL66" s="89"/>
      <c r="AM66" s="89"/>
    </row>
    <row r="67" spans="1:39" ht="13">
      <c r="A67" s="58" t="s">
        <v>206</v>
      </c>
      <c r="B67" s="52">
        <f>B65</f>
        <v>0</v>
      </c>
      <c r="C67" s="52">
        <f>C65</f>
        <v>0</v>
      </c>
      <c r="D67" s="53">
        <f>Lähtötiedot!Q7*Lähtötiedot!F7*'Kotikonemallien lähtötiedot'!H6*'Päästökertoimet ja niiden laatu'!B20*Lähtötiedot!R7</f>
        <v>163.37801205766715</v>
      </c>
      <c r="E67" s="53">
        <f>Lähtötiedot!Q7*Lähtötiedot!F7*'Kotikonemallien lähtötiedot'!M6*'Päästökertoimet ja niiden laatu'!B20*Lähtötiedot!U7*Lähtötiedot!R7</f>
        <v>302.97970380078641</v>
      </c>
      <c r="F67" s="52">
        <f>F65</f>
        <v>4502.4110091743123</v>
      </c>
      <c r="G67" s="52">
        <f>G65</f>
        <v>0</v>
      </c>
      <c r="H67" s="52">
        <f>H65</f>
        <v>0</v>
      </c>
      <c r="I67" s="52">
        <f>Lähtötiedot!S7*Lähtötiedot!Q7*Lähtötiedot!F7*'Kotikonemallien lähtötiedot'!H6*'Päästökertoimet ja niiden laatu'!B20</f>
        <v>163.37801205766712</v>
      </c>
      <c r="J67" s="52">
        <f>Lähtötiedot!F7*Lähtötiedot!Q7*Lähtötiedot!S7*'Kotikonemallien lähtötiedot'!R6*'Päästökertoimet ja niiden laatu'!B20</f>
        <v>1062.7913394495413</v>
      </c>
      <c r="K67" s="52">
        <f>K65</f>
        <v>3.8202275229357805</v>
      </c>
      <c r="L67" s="53">
        <f>L65</f>
        <v>1.0153315816513764</v>
      </c>
      <c r="M67" s="53">
        <f ca="1">'Palveluntarjoajien lähtötiedot'!C7*Lähtötiedot!F7*Lähtötiedot!Q7*'Päästökertoimet ja niiden laatu'!B20*Lähtötiedot!T7</f>
        <v>193.43691743119268</v>
      </c>
      <c r="N67" s="53">
        <f>'Palveluntarjoajien lähtötiedot'!F7*Lähtötiedot!F7*Lähtötiedot!Q7*'Päästökertoimet ja niiden laatu'!B23*'Päästökertoimet ja niiden laatu'!B25*'Päästökertoimet ja niiden laatu'!B26*V11*Lähtötiedot!T7</f>
        <v>0</v>
      </c>
      <c r="O67" s="53">
        <f>'Palveluntarjoajien lähtötiedot'!F7*Lähtötiedot!F7*Lähtötiedot!Q7*V10*'Päästökertoimet ja niiden laatu'!B28*'Päästökertoimet ja niiden laatu'!B29*Lähtötiedot!T7</f>
        <v>177.8316878943964</v>
      </c>
      <c r="P67" s="53">
        <f>P65</f>
        <v>3.8202275229357805</v>
      </c>
      <c r="Q67" s="53">
        <f>Q65</f>
        <v>1.0153315816513764</v>
      </c>
      <c r="R67" s="60">
        <f t="shared" ca="1" si="2"/>
        <v>6575.8778000747379</v>
      </c>
      <c r="S67" s="61">
        <f ca="1">R67/Lähtötiedot!$L$7/1000</f>
        <v>2.1919592666915793</v>
      </c>
      <c r="T67" s="55"/>
      <c r="U67" s="47"/>
      <c r="V67" s="56"/>
      <c r="W67" s="47"/>
      <c r="X67" s="89"/>
      <c r="Y67" s="89"/>
      <c r="Z67" s="89"/>
      <c r="AA67" s="89"/>
      <c r="AB67" s="89"/>
      <c r="AC67" s="89"/>
      <c r="AD67" s="89"/>
      <c r="AE67" s="89"/>
      <c r="AF67" s="89"/>
      <c r="AG67" s="89"/>
      <c r="AH67" s="89"/>
      <c r="AI67" s="89"/>
      <c r="AJ67" s="89"/>
      <c r="AK67" s="89"/>
      <c r="AL67" s="89"/>
      <c r="AM67" s="89"/>
    </row>
    <row r="68" spans="1:39" ht="13">
      <c r="A68" s="51" t="s">
        <v>207</v>
      </c>
      <c r="D68" s="8">
        <f>Lähtötiedot!F7*Lähtötiedot!Q7*'Kotikonemallien lähtötiedot'!I6*Lähtötiedot!R7</f>
        <v>899.56684875491487</v>
      </c>
      <c r="I68" s="8">
        <f>Lähtötiedot!F7*Lähtötiedot!Q7*'Kotikonemallien lähtötiedot'!I6*Lähtötiedot!S7</f>
        <v>899.56684875491487</v>
      </c>
      <c r="M68" s="8">
        <f>'Palveluntarjoajien lähtötiedot'!I7*Lähtötiedot!F7*Lähtötiedot!Q7*Lähtötiedot!T7</f>
        <v>372.92697247706428</v>
      </c>
      <c r="R68" s="65">
        <f t="shared" si="2"/>
        <v>2172.060669986894</v>
      </c>
      <c r="S68" s="87">
        <f>R68/Lähtötiedot!$L$7</f>
        <v>724.02022332896468</v>
      </c>
      <c r="T68" s="62"/>
      <c r="U68" s="57"/>
      <c r="V68" s="63"/>
      <c r="W68" s="91">
        <f>R68/(Lähtötiedot!Q7*Lähtötiedot!F23)</f>
        <v>3.7161333669270174E-3</v>
      </c>
    </row>
    <row r="69" spans="1:39" ht="12.5">
      <c r="S69" s="92"/>
      <c r="T69" s="93"/>
      <c r="U69" s="92"/>
      <c r="V69" s="94"/>
    </row>
    <row r="70" spans="1:39" ht="13">
      <c r="A70" s="332" t="str">
        <f>(Lähtötiedot!B5&amp;", "&amp;Lähtötiedot!C8)</f>
        <v>Toimija 2, Toimija 2 vaate 4</v>
      </c>
      <c r="B70" s="329" t="str">
        <f>Lähtötiedot!C8</f>
        <v>Toimija 2 vaate 4</v>
      </c>
      <c r="C70" s="302"/>
      <c r="D70" s="302"/>
      <c r="E70" s="302"/>
      <c r="F70" s="302"/>
      <c r="G70" s="302"/>
      <c r="H70" s="302"/>
      <c r="I70" s="302"/>
      <c r="J70" s="302"/>
      <c r="K70" s="302"/>
      <c r="L70" s="302"/>
      <c r="M70" s="302"/>
      <c r="N70" s="302"/>
      <c r="O70" s="302"/>
      <c r="P70" s="302"/>
      <c r="Q70" s="302"/>
      <c r="R70" s="302"/>
      <c r="S70" s="69"/>
      <c r="T70" s="42"/>
      <c r="U70" s="45"/>
      <c r="V70" s="70"/>
      <c r="W70" s="332" t="s">
        <v>218</v>
      </c>
    </row>
    <row r="71" spans="1:39" ht="13" collapsed="1">
      <c r="A71" s="302"/>
      <c r="B71" s="1" t="s">
        <v>192</v>
      </c>
      <c r="C71" s="1" t="s">
        <v>193</v>
      </c>
      <c r="D71" s="1" t="s">
        <v>194</v>
      </c>
      <c r="E71" s="1" t="s">
        <v>195</v>
      </c>
      <c r="F71" s="1" t="s">
        <v>196</v>
      </c>
      <c r="G71" s="1" t="s">
        <v>197</v>
      </c>
      <c r="H71" s="1" t="s">
        <v>193</v>
      </c>
      <c r="I71" s="1" t="s">
        <v>198</v>
      </c>
      <c r="J71" s="1" t="s">
        <v>199</v>
      </c>
      <c r="K71" s="1" t="s">
        <v>210</v>
      </c>
      <c r="L71" s="1" t="s">
        <v>193</v>
      </c>
      <c r="M71" s="1" t="s">
        <v>211</v>
      </c>
      <c r="N71" s="1" t="s">
        <v>212</v>
      </c>
      <c r="O71" s="1" t="s">
        <v>213</v>
      </c>
      <c r="P71" s="1" t="s">
        <v>214</v>
      </c>
      <c r="Q71" s="1" t="s">
        <v>193</v>
      </c>
      <c r="R71" s="1" t="s">
        <v>200</v>
      </c>
      <c r="S71" s="47" t="s">
        <v>201</v>
      </c>
      <c r="T71" s="71"/>
      <c r="U71" s="47"/>
      <c r="V71" s="72"/>
      <c r="W71" s="302"/>
    </row>
    <row r="72" spans="1:39" ht="12.5" hidden="1" outlineLevel="1">
      <c r="A72" s="48" t="s">
        <v>202</v>
      </c>
      <c r="B72" s="8">
        <f>(Lähtötiedot!F16*'Päästökertoimet ja niiden laatu'!B9)*Lähtötiedot!Q8*Lähtötiedot!R8</f>
        <v>47467.84293577983</v>
      </c>
      <c r="C72" s="8">
        <f>(Lähtötiedot!F16*'Päästökertoimet ja niiden laatu'!B10*'Päästökertoimet ja niiden laatu'!B17)*Lähtötiedot!Q8*Lähtötiedot!R8</f>
        <v>12504.02915229358</v>
      </c>
      <c r="D72" s="8">
        <f>Lähtötiedot!Q8*Lähtötiedot!F8*'Kotikonemallien lähtötiedot'!H6*'Päästökertoimet ja niiden laatu'!B21*Lähtötiedot!R8</f>
        <v>523.55226591206974</v>
      </c>
      <c r="E72" s="8">
        <f>Lähtötiedot!Q8*Lähtötiedot!F8*'Kotikonemallien lähtötiedot'!M6*'Päästökertoimet ja niiden laatu'!B21*Lähtötiedot!U8*Lähtötiedot!R8</f>
        <v>970.91223263433824</v>
      </c>
      <c r="F72" s="19">
        <f>Lähtötiedot!Q8*Lähtötiedot!F8*'Kotikonemallien lähtötiedot'!U6*'Päästökertoimet ja niiden laatu'!B22*Lähtötiedot!R8*Lähtötiedot!V8</f>
        <v>1125.6027522935781</v>
      </c>
      <c r="G72" s="8">
        <f>(Lähtötiedot!F16*'Päästökertoimet ja niiden laatu'!B9)*Lähtötiedot!Q8*Lähtötiedot!R8</f>
        <v>47467.84293577983</v>
      </c>
      <c r="H72" s="19">
        <f>(Lähtötiedot!F16*'Päästökertoimet ja niiden laatu'!B10*'Päästökertoimet ja niiden laatu'!B17)*Lähtötiedot!Q8*Lähtötiedot!R8</f>
        <v>12504.02915229358</v>
      </c>
      <c r="I72" s="19">
        <f>Lähtötiedot!S8*Lähtötiedot!Q8*Lähtötiedot!F8*'Kotikonemallien lähtötiedot'!H6*'Päästökertoimet ja niiden laatu'!B21</f>
        <v>523.55226591206963</v>
      </c>
      <c r="J72" s="19">
        <f>Lähtötiedot!F8*Lähtötiedot!Q8*Lähtötiedot!S8*'Kotikonemallien lähtötiedot'!R6*'Päästökertoimet ja niiden laatu'!B21</f>
        <v>3405.7631559633028</v>
      </c>
      <c r="K72" s="19" t="e">
        <f>#REF!*'Päästökertoimet ja niiden laatu'!B11*Lähtötiedot!F8/1000*Lähtötiedot!Q8*Lähtötiedot!T8</f>
        <v>#REF!</v>
      </c>
      <c r="L72" s="6" t="e">
        <f>#REF!*'Päästökertoimet ja niiden laatu'!B12*Lähtötiedot!F8/1000*Lähtötiedot!Q8*'Päästökertoimet ja niiden laatu'!B17*Lähtötiedot!T8</f>
        <v>#REF!</v>
      </c>
      <c r="M72" s="8">
        <f ca="1">'Palveluntarjoajien lähtötiedot'!C7*Lähtötiedot!F8*Lähtötiedot!Q8*'Päästökertoimet ja niiden laatu'!B21*Lähtötiedot!T8</f>
        <v>619.877394495413</v>
      </c>
      <c r="N72" s="8">
        <f ca="1">'Palveluntarjoajien lähtötiedot'!F7*Lähtötiedot!F8*Lähtötiedot!Q8*'Päästökertoimet ja niiden laatu'!B23*'Päästökertoimet ja niiden laatu'!B25*'Päästökertoimet ja niiden laatu'!B26*'Palveluntarjoajien lähtötiedot'!G7*Lähtötiedot!T8</f>
        <v>3801.689514901484</v>
      </c>
      <c r="O72" s="6">
        <f ca="1">'Palveluntarjoajien lähtötiedot'!F7*Lähtötiedot!F8*Lähtötiedot!Q8*'Palveluntarjoajien lähtötiedot'!H7*'Päästökertoimet ja niiden laatu'!B28*'Päästökertoimet ja niiden laatu'!B29*Lähtötiedot!T8</f>
        <v>0.29638614649066031</v>
      </c>
      <c r="P72" s="8" t="e">
        <f>#REF!*'Päästökertoimet ja niiden laatu'!B11*Lähtötiedot!F8/1000*Lähtötiedot!Q8*Lähtötiedot!T8</f>
        <v>#REF!</v>
      </c>
      <c r="Q72" s="6" t="e">
        <f>#REF!*'Päästökertoimet ja niiden laatu'!B12*Lähtötiedot!F8/1000*Lähtötiedot!Q8*'Päästökertoimet ja niiden laatu'!B17*Lähtötiedot!T8</f>
        <v>#REF!</v>
      </c>
      <c r="R72" s="19" t="e">
        <f t="shared" ref="R72:R77" si="3">SUM(B72:Q72)</f>
        <v>#REF!</v>
      </c>
      <c r="S72" s="10" t="e">
        <f>R72/Lähtötiedot!$L$8</f>
        <v>#REF!</v>
      </c>
      <c r="T72" s="49" t="e">
        <f ca="1">B72+C72+D72*$T$11+E72+F72+G72+H72+I72*$T$11+J72+K72+L72+M72+N72+O72+P72+Q72</f>
        <v>#REF!</v>
      </c>
      <c r="U72" s="10" t="e">
        <f ca="1">T72/Lähtötiedot!$L$8</f>
        <v>#REF!</v>
      </c>
      <c r="V72" s="50"/>
      <c r="W72" s="10" t="e">
        <f>R72/(Lähtötiedot!Q8*Lähtötiedot!F23)</f>
        <v>#REF!</v>
      </c>
    </row>
    <row r="73" spans="1:39" ht="12.5" hidden="1" outlineLevel="1">
      <c r="A73" s="48" t="s">
        <v>203</v>
      </c>
      <c r="B73" s="8">
        <f>(Lähtötiedot!F16*'Päästökertoimet ja niiden laatu'!B7)*Lähtötiedot!Q8*Lähtötiedot!R8</f>
        <v>16551.287339449547</v>
      </c>
      <c r="C73" s="8">
        <f>Lähtötiedot!F15*'Päästökertoimet ja niiden laatu'!B8*'Päästökertoimet ja niiden laatu'!B17*Lähtötiedot!Q8*Lähtötiedot!R8</f>
        <v>4490.0831955963313</v>
      </c>
      <c r="D73" s="8">
        <f>Lähtötiedot!Q8*Lähtötiedot!F8*'Kotikonemallien lähtötiedot'!H6*'Päästökertoimet ja niiden laatu'!B21*Lähtötiedot!R8</f>
        <v>523.55226591206974</v>
      </c>
      <c r="E73" s="8">
        <f>Lähtötiedot!Q8*Lähtötiedot!F8*'Kotikonemallien lähtötiedot'!M6*'Päästökertoimet ja niiden laatu'!B21*Lähtötiedot!U8*Lähtötiedot!R8</f>
        <v>970.91223263433824</v>
      </c>
      <c r="F73" s="19">
        <f>Lähtötiedot!Q8*Lähtötiedot!F8*'Kotikonemallien lähtötiedot'!U6*'Päästökertoimet ja niiden laatu'!B22*Lähtötiedot!R8*Lähtötiedot!V8</f>
        <v>1125.6027522935781</v>
      </c>
      <c r="G73" s="8">
        <f>(Lähtötiedot!F16*'Päästökertoimet ja niiden laatu'!B7)*Lähtötiedot!Q8*Lähtötiedot!R8</f>
        <v>16551.287339449547</v>
      </c>
      <c r="H73" s="19">
        <f>Lähtötiedot!F15*'Päästökertoimet ja niiden laatu'!B8*'Päästökertoimet ja niiden laatu'!B17*Lähtötiedot!Q8*Lähtötiedot!R8</f>
        <v>4490.0831955963313</v>
      </c>
      <c r="I73" s="19">
        <f>Lähtötiedot!S8*Lähtötiedot!Q8*Lähtötiedot!F8*'Kotikonemallien lähtötiedot'!H6*'Päästökertoimet ja niiden laatu'!B21</f>
        <v>523.55226591206963</v>
      </c>
      <c r="J73" s="19">
        <f>Lähtötiedot!F8*Lähtötiedot!Q8*Lähtötiedot!S8*'Kotikonemallien lähtötiedot'!R6*'Päästökertoimet ja niiden laatu'!B21</f>
        <v>3405.7631559633028</v>
      </c>
      <c r="K73" s="19" t="e">
        <f>#REF!*'Päästökertoimet ja niiden laatu'!B11*Lähtötiedot!F8/1000*Lähtötiedot!Q8*Lähtötiedot!T8</f>
        <v>#REF!</v>
      </c>
      <c r="L73" s="6" t="e">
        <f>#REF!*'Päästökertoimet ja niiden laatu'!B12*Lähtötiedot!F8/1000*Lähtötiedot!Q8*'Päästökertoimet ja niiden laatu'!B17*Lähtötiedot!T8</f>
        <v>#REF!</v>
      </c>
      <c r="M73" s="8">
        <f ca="1">'Palveluntarjoajien lähtötiedot'!C7*Lähtötiedot!F8*Lähtötiedot!Q8*'Päästökertoimet ja niiden laatu'!B21*Lähtötiedot!T8</f>
        <v>619.877394495413</v>
      </c>
      <c r="N73" s="8">
        <f ca="1">'Palveluntarjoajien lähtötiedot'!F7*Lähtötiedot!F8*Lähtötiedot!Q8*'Päästökertoimet ja niiden laatu'!B23*'Päästökertoimet ja niiden laatu'!B25*'Päästökertoimet ja niiden laatu'!B26*'Palveluntarjoajien lähtötiedot'!G7*Lähtötiedot!T8</f>
        <v>3801.689514901484</v>
      </c>
      <c r="O73" s="6">
        <f ca="1">'Palveluntarjoajien lähtötiedot'!F7*Lähtötiedot!F8*Lähtötiedot!Q8*'Palveluntarjoajien lähtötiedot'!H7*'Päästökertoimet ja niiden laatu'!B28*'Päästökertoimet ja niiden laatu'!B29*Lähtötiedot!T8</f>
        <v>0.29638614649066031</v>
      </c>
      <c r="P73" s="8" t="e">
        <f>#REF!*'Päästökertoimet ja niiden laatu'!B11*Lähtötiedot!F8/1000*Lähtötiedot!Q8*Lähtötiedot!T8</f>
        <v>#REF!</v>
      </c>
      <c r="Q73" s="6" t="e">
        <f>#REF!*'Päästökertoimet ja niiden laatu'!B12*Lähtötiedot!F8/1000*Lähtötiedot!Q8*'Päästökertoimet ja niiden laatu'!B17*Lähtötiedot!T8</f>
        <v>#REF!</v>
      </c>
      <c r="R73" s="19" t="e">
        <f t="shared" si="3"/>
        <v>#REF!</v>
      </c>
      <c r="S73" s="10" t="e">
        <f>R73/Lähtötiedot!$L$8</f>
        <v>#REF!</v>
      </c>
      <c r="T73" s="49" t="e">
        <f ca="1">B73+C73+D73*$T$11+E73+F73+G73+H73+I73*$T$11+J73+K73+L73+M73+N73+O73+P73+Q73</f>
        <v>#REF!</v>
      </c>
      <c r="U73" s="10" t="e">
        <f ca="1">T73/Lähtötiedot!$L$8</f>
        <v>#REF!</v>
      </c>
      <c r="V73" s="50"/>
      <c r="W73" s="10" t="e">
        <f>R73/(Lähtötiedot!Q8*Lähtötiedot!F23)</f>
        <v>#REF!</v>
      </c>
    </row>
    <row r="74" spans="1:39" ht="13">
      <c r="A74" s="51" t="s">
        <v>204</v>
      </c>
      <c r="B74" s="52">
        <v>0</v>
      </c>
      <c r="C74" s="52">
        <v>0</v>
      </c>
      <c r="D74" s="53">
        <f>Lähtötiedot!Q8*Lähtötiedot!F8*'Kotikonemallien lähtötiedot'!H6*'Päästökertoimet ja niiden laatu'!B21*Lähtötiedot!R8</f>
        <v>523.55226591206974</v>
      </c>
      <c r="E74" s="53">
        <f>Lähtötiedot!Q8*Lähtötiedot!F8*'Kotikonemallien lähtötiedot'!M6*'Päästökertoimet ja niiden laatu'!B21*Lähtötiedot!U8*Lähtötiedot!R8</f>
        <v>970.91223263433824</v>
      </c>
      <c r="F74" s="52">
        <f>Lähtötiedot!Q8*Lähtötiedot!F8*'Kotikonemallien lähtötiedot'!U6*'Päästökertoimet ja niiden laatu'!B22*Lähtötiedot!R8*Lähtötiedot!V8</f>
        <v>1125.6027522935781</v>
      </c>
      <c r="G74" s="52">
        <v>0</v>
      </c>
      <c r="H74" s="52">
        <v>0</v>
      </c>
      <c r="I74" s="52">
        <f>Lähtötiedot!S8*Lähtötiedot!Q8*Lähtötiedot!F8*'Kotikonemallien lähtötiedot'!H6*'Päästökertoimet ja niiden laatu'!B21</f>
        <v>523.55226591206963</v>
      </c>
      <c r="J74" s="52">
        <f>Lähtötiedot!F8*Lähtötiedot!Q8*Lähtötiedot!S8*'Kotikonemallien lähtötiedot'!R6*'Päästökertoimet ja niiden laatu'!B21</f>
        <v>3405.7631559633028</v>
      </c>
      <c r="K74" s="52">
        <f>Lähtötiedot!F18*'Päästökertoimet ja niiden laatu'!B11*Lähtötiedot!F8/1000*Lähtötiedot!Q8*Lähtötiedot!T8</f>
        <v>0.95505688073394512</v>
      </c>
      <c r="L74" s="57">
        <f>Lähtötiedot!F18*'Päästökertoimet ja niiden laatu'!B12*Lähtötiedot!F8/1000*Lähtötiedot!Q8*'Päästökertoimet ja niiden laatu'!B17*Lähtötiedot!T8</f>
        <v>0.2538328954128441</v>
      </c>
      <c r="M74" s="53">
        <f ca="1">'Palveluntarjoajien lähtötiedot'!C7*Lähtötiedot!F8*Lähtötiedot!Q8*'Päästökertoimet ja niiden laatu'!B21*Lähtötiedot!T8</f>
        <v>619.877394495413</v>
      </c>
      <c r="N74" s="53">
        <f ca="1">'Palveluntarjoajien lähtötiedot'!F7*Lähtötiedot!F8*Lähtötiedot!Q8*'Päästökertoimet ja niiden laatu'!B23*'Päästökertoimet ja niiden laatu'!B25*'Päästökertoimet ja niiden laatu'!B26*'Palveluntarjoajien lähtötiedot'!G7*Lähtötiedot!T8</f>
        <v>3801.689514901484</v>
      </c>
      <c r="O74" s="57">
        <f ca="1">'Palveluntarjoajien lähtötiedot'!F7*Lähtötiedot!F8*Lähtötiedot!Q8*'Palveluntarjoajien lähtötiedot'!H7*'Päästökertoimet ja niiden laatu'!B28*'Päästökertoimet ja niiden laatu'!B29*Lähtötiedot!T8</f>
        <v>0.29638614649066031</v>
      </c>
      <c r="P74" s="53">
        <f>Lähtötiedot!F18*'Päästökertoimet ja niiden laatu'!B11*Lähtötiedot!F8/1000*Lähtötiedot!Q8*Lähtötiedot!T8</f>
        <v>0.95505688073394512</v>
      </c>
      <c r="Q74" s="57">
        <f>Lähtötiedot!F18*'Päästökertoimet ja niiden laatu'!B12*Lähtötiedot!F8/1000*Lähtötiedot!Q8*'Päästökertoimet ja niiden laatu'!B17*Lähtötiedot!T8</f>
        <v>0.2538328954128441</v>
      </c>
      <c r="R74" s="52">
        <f t="shared" ca="1" si="3"/>
        <v>10973.663747811037</v>
      </c>
      <c r="S74" s="10">
        <f ca="1">R74/Lähtötiedot!$L$8/1000</f>
        <v>3.6578879159370121</v>
      </c>
      <c r="T74" s="55">
        <f ca="1">B74+C74+D74*$T$11+E74+F74+G74+H74+I74*$T$11+J74+K74+L74+M74+N74+O74+P74+Q74</f>
        <v>12020.768279635176</v>
      </c>
      <c r="V74" s="56"/>
      <c r="W74" s="95">
        <f ca="1">R74/(Lähtötiedot!Q8*Lähtötiedot!F23)</f>
        <v>7.5098451114487583E-2</v>
      </c>
      <c r="X74" s="89"/>
      <c r="Y74" s="89"/>
      <c r="Z74" s="89"/>
      <c r="AA74" s="89"/>
      <c r="AB74" s="89"/>
      <c r="AC74" s="89"/>
      <c r="AD74" s="89"/>
      <c r="AE74" s="89"/>
      <c r="AF74" s="89"/>
      <c r="AG74" s="89"/>
      <c r="AH74" s="89"/>
      <c r="AI74" s="89"/>
      <c r="AJ74" s="89"/>
      <c r="AK74" s="89"/>
      <c r="AL74" s="89"/>
      <c r="AM74" s="89"/>
    </row>
    <row r="75" spans="1:39" ht="13">
      <c r="A75" s="51" t="s">
        <v>205</v>
      </c>
      <c r="B75" s="47">
        <f>B74/Lähtötiedot!$L$8/1000</f>
        <v>0</v>
      </c>
      <c r="C75" s="47">
        <f>C74/Lähtötiedot!$L$8/1000</f>
        <v>0</v>
      </c>
      <c r="D75" s="47">
        <f>D74/Lähtötiedot!$L$8/1000</f>
        <v>0.17451742197068992</v>
      </c>
      <c r="E75" s="47">
        <f>E74/Lähtötiedot!$L$8/1000</f>
        <v>0.32363741087811276</v>
      </c>
      <c r="F75" s="47">
        <f>F74/Lähtötiedot!$L$8/1000</f>
        <v>0.37520091743119272</v>
      </c>
      <c r="G75" s="47">
        <f>G74/Lähtötiedot!$L$8/1000</f>
        <v>0</v>
      </c>
      <c r="H75" s="47">
        <f>H74/Lähtötiedot!$L$8/1000</f>
        <v>0</v>
      </c>
      <c r="I75" s="47">
        <f>I74/Lähtötiedot!$L$8/1000</f>
        <v>0.17451742197068987</v>
      </c>
      <c r="J75" s="47">
        <f>J74/Lähtötiedot!$L$8/1000</f>
        <v>1.135254385321101</v>
      </c>
      <c r="K75" s="47">
        <f>K74/Lähtötiedot!$L$8/1000</f>
        <v>3.1835229357798174E-4</v>
      </c>
      <c r="L75" s="47">
        <f>L74/Lähtötiedot!$L$8/1000</f>
        <v>8.461096513761469E-5</v>
      </c>
      <c r="M75" s="47">
        <f ca="1">M74/Lähtötiedot!$L$8/1000</f>
        <v>0.20662579816513765</v>
      </c>
      <c r="N75" s="47">
        <f ca="1">N74/Lähtötiedot!$L$8/1000</f>
        <v>1.2672298383004947</v>
      </c>
      <c r="O75" s="47">
        <f ca="1">O74/Lähtötiedot!$L$8/1000</f>
        <v>9.879538216355344E-5</v>
      </c>
      <c r="P75" s="47">
        <f>P74/Lähtötiedot!$L$8/1000</f>
        <v>3.1835229357798174E-4</v>
      </c>
      <c r="Q75" s="47">
        <f>Q74/Lähtötiedot!$L$8/1000</f>
        <v>8.461096513761469E-5</v>
      </c>
      <c r="R75" s="57">
        <f t="shared" ca="1" si="3"/>
        <v>3.6578879159370139</v>
      </c>
      <c r="S75" s="10"/>
      <c r="T75" s="55"/>
      <c r="U75" s="47">
        <f ca="1">T74/Lähtötiedot!$L$8/1000</f>
        <v>4.0069227598783925</v>
      </c>
      <c r="V75" s="56"/>
      <c r="W75" s="95"/>
      <c r="X75" s="89"/>
      <c r="Y75" s="89"/>
      <c r="Z75" s="89"/>
      <c r="AA75" s="89"/>
      <c r="AB75" s="89"/>
      <c r="AC75" s="89"/>
      <c r="AD75" s="89"/>
      <c r="AE75" s="89"/>
      <c r="AF75" s="89"/>
      <c r="AG75" s="89"/>
      <c r="AH75" s="89"/>
      <c r="AI75" s="89"/>
      <c r="AJ75" s="89"/>
      <c r="AK75" s="89"/>
      <c r="AL75" s="89"/>
      <c r="AM75" s="89"/>
    </row>
    <row r="76" spans="1:39" ht="13">
      <c r="A76" s="58" t="s">
        <v>206</v>
      </c>
      <c r="B76" s="52">
        <f>B74</f>
        <v>0</v>
      </c>
      <c r="C76" s="52">
        <f>C74</f>
        <v>0</v>
      </c>
      <c r="D76" s="53">
        <f>Lähtötiedot!Q8*Lähtötiedot!F8*'Kotikonemallien lähtötiedot'!H6*'Päästökertoimet ja niiden laatu'!B20*Lähtötiedot!R8</f>
        <v>40.844503014416787</v>
      </c>
      <c r="E76" s="53">
        <f>Lähtötiedot!Q8*Lähtötiedot!F8*'Kotikonemallien lähtötiedot'!M6*'Päästökertoimet ja niiden laatu'!B20*Lähtötiedot!U8*Lähtötiedot!R8</f>
        <v>75.744925950196603</v>
      </c>
      <c r="F76" s="52">
        <f>Lähtötiedot!Q8*Lähtötiedot!F8*'Kotikonemallien lähtötiedot'!U6*'Päästökertoimet ja niiden laatu'!B22*Lähtötiedot!R8*Lähtötiedot!V8</f>
        <v>1125.6027522935781</v>
      </c>
      <c r="G76" s="52">
        <f>G74</f>
        <v>0</v>
      </c>
      <c r="H76" s="52">
        <f>H74</f>
        <v>0</v>
      </c>
      <c r="I76" s="52">
        <f>Lähtötiedot!S8*Lähtötiedot!Q8*Lähtötiedot!F8*'Kotikonemallien lähtötiedot'!H6*'Päästökertoimet ja niiden laatu'!B20</f>
        <v>40.84450301441678</v>
      </c>
      <c r="J76" s="52">
        <f>Lähtötiedot!F8*Lähtötiedot!Q8*Lähtötiedot!S8*'Kotikonemallien lähtötiedot'!R6*'Päästökertoimet ja niiden laatu'!B20</f>
        <v>265.69783486238532</v>
      </c>
      <c r="K76" s="52">
        <f>K74</f>
        <v>0.95505688073394512</v>
      </c>
      <c r="L76" s="57">
        <f>L74</f>
        <v>0.2538328954128441</v>
      </c>
      <c r="M76" s="53">
        <f ca="1">'Palveluntarjoajien lähtötiedot'!C7*Lähtötiedot!F8*Lähtötiedot!Q8*'Päästökertoimet ja niiden laatu'!B20*Lähtötiedot!T8</f>
        <v>48.359229357798171</v>
      </c>
      <c r="N76" s="53">
        <f>'Palveluntarjoajien lähtötiedot'!F7*Lähtötiedot!F8*Lähtötiedot!Q8*'Päästökertoimet ja niiden laatu'!B23*'Päästökertoimet ja niiden laatu'!B25*'Päästökertoimet ja niiden laatu'!B26*V11*Lähtötiedot!T8</f>
        <v>0</v>
      </c>
      <c r="O76" s="57">
        <f>'Palveluntarjoajien lähtötiedot'!F7*Lähtötiedot!F8*Lähtötiedot!Q8*V10*'Päästökertoimet ja niiden laatu'!B28*'Päästökertoimet ja niiden laatu'!B29*Lähtötiedot!T8</f>
        <v>44.457921973599099</v>
      </c>
      <c r="P76" s="53">
        <f>P74</f>
        <v>0.95505688073394512</v>
      </c>
      <c r="Q76" s="57">
        <f>Q74</f>
        <v>0.2538328954128441</v>
      </c>
      <c r="R76" s="60">
        <f t="shared" ca="1" si="3"/>
        <v>1643.9694500186845</v>
      </c>
      <c r="S76" s="61">
        <f ca="1">R76/Lähtötiedot!$L$8/1000</f>
        <v>0.54798981667289481</v>
      </c>
      <c r="T76" s="55"/>
      <c r="U76" s="47"/>
      <c r="V76" s="56"/>
      <c r="W76" s="95"/>
      <c r="X76" s="89"/>
      <c r="Y76" s="89"/>
      <c r="Z76" s="89"/>
      <c r="AA76" s="89"/>
      <c r="AB76" s="89"/>
      <c r="AC76" s="89"/>
      <c r="AD76" s="89"/>
      <c r="AE76" s="89"/>
      <c r="AF76" s="89"/>
      <c r="AG76" s="89"/>
      <c r="AH76" s="89"/>
      <c r="AI76" s="89"/>
      <c r="AJ76" s="89"/>
      <c r="AK76" s="89"/>
      <c r="AL76" s="89"/>
      <c r="AM76" s="89"/>
    </row>
    <row r="77" spans="1:39" ht="13">
      <c r="A77" s="51" t="s">
        <v>207</v>
      </c>
      <c r="D77" s="8">
        <f>Lähtötiedot!F8*Lähtötiedot!Q8*'Kotikonemallien lähtötiedot'!I6*Lähtötiedot!R8</f>
        <v>224.89171218872872</v>
      </c>
      <c r="I77" s="8">
        <f>Lähtötiedot!F8*Lähtötiedot!Q8*'Kotikonemallien lähtötiedot'!I6*Lähtötiedot!S8</f>
        <v>224.89171218872872</v>
      </c>
      <c r="M77" s="8">
        <f>'Palveluntarjoajien lähtötiedot'!I7*Lähtötiedot!F8*Lähtötiedot!Q8*Lähtötiedot!T8</f>
        <v>93.231743119266071</v>
      </c>
      <c r="R77" s="65">
        <f t="shared" si="3"/>
        <v>543.01516749672351</v>
      </c>
      <c r="S77" s="96">
        <f>R77/Lähtötiedot!$L$8</f>
        <v>181.00505583224117</v>
      </c>
      <c r="T77" s="62"/>
      <c r="U77" s="57"/>
      <c r="V77" s="63"/>
      <c r="W77" s="97">
        <f>R77/(Lähtötiedot!Q8*Lähtötiedot!F23)</f>
        <v>3.7161333669270174E-3</v>
      </c>
    </row>
    <row r="78" spans="1:39" ht="12.5">
      <c r="S78" s="92"/>
      <c r="T78" s="93"/>
      <c r="U78" s="92"/>
      <c r="V78" s="94"/>
    </row>
    <row r="79" spans="1:39" ht="13">
      <c r="A79" s="332" t="str">
        <f>(Lähtötiedot!B5&amp;", "&amp;Lähtötiedot!C9)</f>
        <v>Toimija 2, Toimija 2 vaate 5</v>
      </c>
      <c r="B79" s="329" t="str">
        <f>Lähtötiedot!C9</f>
        <v>Toimija 2 vaate 5</v>
      </c>
      <c r="C79" s="302"/>
      <c r="D79" s="302"/>
      <c r="E79" s="302"/>
      <c r="F79" s="302"/>
      <c r="G79" s="302"/>
      <c r="H79" s="302"/>
      <c r="I79" s="302"/>
      <c r="J79" s="302"/>
      <c r="K79" s="302"/>
      <c r="L79" s="302"/>
      <c r="M79" s="302"/>
      <c r="N79" s="302"/>
      <c r="O79" s="302"/>
      <c r="P79" s="302"/>
      <c r="Q79" s="302"/>
      <c r="R79" s="302"/>
      <c r="S79" s="69"/>
      <c r="T79" s="42"/>
      <c r="U79" s="45"/>
      <c r="V79" s="70"/>
      <c r="W79" s="332" t="s">
        <v>219</v>
      </c>
    </row>
    <row r="80" spans="1:39" ht="13" collapsed="1">
      <c r="A80" s="302"/>
      <c r="B80" s="1" t="s">
        <v>192</v>
      </c>
      <c r="C80" s="1" t="s">
        <v>193</v>
      </c>
      <c r="D80" s="1" t="s">
        <v>194</v>
      </c>
      <c r="E80" s="1" t="s">
        <v>195</v>
      </c>
      <c r="F80" s="1" t="s">
        <v>196</v>
      </c>
      <c r="G80" s="1" t="s">
        <v>197</v>
      </c>
      <c r="H80" s="1" t="s">
        <v>193</v>
      </c>
      <c r="I80" s="1" t="s">
        <v>198</v>
      </c>
      <c r="J80" s="1" t="s">
        <v>199</v>
      </c>
      <c r="K80" s="1" t="s">
        <v>210</v>
      </c>
      <c r="L80" s="1" t="s">
        <v>193</v>
      </c>
      <c r="M80" s="1" t="s">
        <v>211</v>
      </c>
      <c r="N80" s="1" t="s">
        <v>212</v>
      </c>
      <c r="O80" s="1" t="s">
        <v>213</v>
      </c>
      <c r="P80" s="1" t="s">
        <v>214</v>
      </c>
      <c r="Q80" s="1" t="s">
        <v>193</v>
      </c>
      <c r="R80" s="1" t="s">
        <v>200</v>
      </c>
      <c r="S80" s="47" t="s">
        <v>201</v>
      </c>
      <c r="T80" s="71"/>
      <c r="U80" s="47"/>
      <c r="V80" s="72"/>
      <c r="W80" s="302"/>
    </row>
    <row r="81" spans="1:39" ht="13" hidden="1" outlineLevel="1">
      <c r="A81" s="48" t="s">
        <v>202</v>
      </c>
      <c r="B81" s="8">
        <f>(Lähtötiedot!F16*'Päästökertoimet ja niiden laatu'!B9)*Lähtötiedot!Q9*Lähtötiedot!R9</f>
        <v>47467.84293577983</v>
      </c>
      <c r="C81" s="8">
        <f>(Lähtötiedot!F16*'Päästökertoimet ja niiden laatu'!B10*'Päästökertoimet ja niiden laatu'!B17)*Lähtötiedot!Q9*Lähtötiedot!R9</f>
        <v>12504.02915229358</v>
      </c>
      <c r="D81" s="8">
        <f>Lähtötiedot!Q9*Lähtötiedot!F9*'Kotikonemallien lähtötiedot'!H6*'Päästökertoimet ja niiden laatu'!B21*Lähtötiedot!R9</f>
        <v>523.55226591206974</v>
      </c>
      <c r="E81" s="8">
        <f>Lähtötiedot!Q9*Lähtötiedot!F9*'Kotikonemallien lähtötiedot'!M6*'Päästökertoimet ja niiden laatu'!B21*Lähtötiedot!U9*Lähtötiedot!R9</f>
        <v>970.91223263433824</v>
      </c>
      <c r="F81" s="19">
        <f>Lähtötiedot!Q9*Lähtötiedot!F9*'Kotikonemallien lähtötiedot'!U6*'Päästökertoimet ja niiden laatu'!B22*Lähtötiedot!R9*Lähtötiedot!V9</f>
        <v>1125.6027522935781</v>
      </c>
      <c r="G81" s="8">
        <f>(Lähtötiedot!F16*'Päästökertoimet ja niiden laatu'!B9)*Lähtötiedot!Q9*Lähtötiedot!R9</f>
        <v>47467.84293577983</v>
      </c>
      <c r="H81" s="19">
        <f>(Lähtötiedot!F16*'Päästökertoimet ja niiden laatu'!B10*'Päästökertoimet ja niiden laatu'!B17)*Lähtötiedot!Q9*Lähtötiedot!R9</f>
        <v>12504.02915229358</v>
      </c>
      <c r="I81" s="19">
        <f>Lähtötiedot!S9*Lähtötiedot!Q9*Lähtötiedot!F9*'Kotikonemallien lähtötiedot'!H6*'Päästökertoimet ja niiden laatu'!B21</f>
        <v>523.55226591206963</v>
      </c>
      <c r="J81" s="19">
        <f>Lähtötiedot!F9*Lähtötiedot!Q9*Lähtötiedot!S9*'Kotikonemallien lähtötiedot'!R6*'Päästökertoimet ja niiden laatu'!B21</f>
        <v>3405.7631559633028</v>
      </c>
      <c r="K81" s="19" t="e">
        <f>#REF!*'Päästökertoimet ja niiden laatu'!B11*Lähtötiedot!F9/1000*Lähtötiedot!Q9*Lähtötiedot!T9</f>
        <v>#REF!</v>
      </c>
      <c r="L81" s="6" t="e">
        <f>#REF!*'Päästökertoimet ja niiden laatu'!B12*Lähtötiedot!F9/1000*Lähtötiedot!Q9*'Päästökertoimet ja niiden laatu'!B17*Lähtötiedot!T9</f>
        <v>#REF!</v>
      </c>
      <c r="M81" s="8">
        <f ca="1">'Palveluntarjoajien lähtötiedot'!C7*Lähtötiedot!F9*Lähtötiedot!Q9*'Päästökertoimet ja niiden laatu'!B21*Lähtötiedot!T9</f>
        <v>619.877394495413</v>
      </c>
      <c r="N81" s="8">
        <f ca="1">'Palveluntarjoajien lähtötiedot'!F7*Lähtötiedot!F9*Lähtötiedot!Q9*'Päästökertoimet ja niiden laatu'!B23*'Päästökertoimet ja niiden laatu'!B25*'Päästökertoimet ja niiden laatu'!B26*'Palveluntarjoajien lähtötiedot'!G7*Lähtötiedot!T9</f>
        <v>3801.689514901484</v>
      </c>
      <c r="O81" s="8">
        <f ca="1">'Palveluntarjoajien lähtötiedot'!F7*Lähtötiedot!F9*Lähtötiedot!Q9*'Palveluntarjoajien lähtötiedot'!H7*'Päästökertoimet ja niiden laatu'!B28*'Päästökertoimet ja niiden laatu'!B29*Lähtötiedot!T9</f>
        <v>0.29638614649066031</v>
      </c>
      <c r="P81" s="8" t="e">
        <f>#REF!*'Päästökertoimet ja niiden laatu'!B11*Lähtötiedot!F9/1000*Lähtötiedot!Q9*Lähtötiedot!T9</f>
        <v>#REF!</v>
      </c>
      <c r="Q81" s="6" t="e">
        <f>#REF!*'Päästökertoimet ja niiden laatu'!B12*Lähtötiedot!F9/1000*Lähtötiedot!Q9*'Päästökertoimet ja niiden laatu'!B17*Lähtötiedot!T9</f>
        <v>#REF!</v>
      </c>
      <c r="R81" s="19" t="e">
        <f t="shared" ref="R81:R86" si="4">SUM(B81:Q81)</f>
        <v>#REF!</v>
      </c>
      <c r="S81" s="10" t="e">
        <f>R81/Lähtötiedot!$L$9</f>
        <v>#REF!</v>
      </c>
      <c r="T81" s="49" t="e">
        <f ca="1">B81+C81+D81*$T$11+E81+F81+G81+H81+I81*$T$11+J81+K81+L81+M81+N81+O81+P81+Q81</f>
        <v>#REF!</v>
      </c>
      <c r="U81" s="10" t="e">
        <f ca="1">T81/Lähtötiedot!$L$9</f>
        <v>#REF!</v>
      </c>
      <c r="V81" s="50"/>
      <c r="W81" s="47" t="e">
        <f>R81/(Lähtötiedot!Q9*Lähtötiedot!F23)</f>
        <v>#REF!</v>
      </c>
    </row>
    <row r="82" spans="1:39" ht="12.5" hidden="1" outlineLevel="1">
      <c r="A82" s="48" t="s">
        <v>203</v>
      </c>
      <c r="B82" s="8">
        <f>(Lähtötiedot!F16*'Päästökertoimet ja niiden laatu'!B7)*Lähtötiedot!Q9*Lähtötiedot!R9</f>
        <v>16551.287339449547</v>
      </c>
      <c r="C82" s="8">
        <f>Lähtötiedot!F15*'Päästökertoimet ja niiden laatu'!B8*'Päästökertoimet ja niiden laatu'!B17*Lähtötiedot!Q9*Lähtötiedot!R9</f>
        <v>4490.0831955963313</v>
      </c>
      <c r="D82" s="8">
        <f>Lähtötiedot!Q9*Lähtötiedot!F9*'Kotikonemallien lähtötiedot'!H6*'Päästökertoimet ja niiden laatu'!B21*Lähtötiedot!R9</f>
        <v>523.55226591206974</v>
      </c>
      <c r="E82" s="8">
        <f>Lähtötiedot!Q9*Lähtötiedot!F9*'Kotikonemallien lähtötiedot'!M6*'Päästökertoimet ja niiden laatu'!B21*Lähtötiedot!U9*Lähtötiedot!R9</f>
        <v>970.91223263433824</v>
      </c>
      <c r="F82" s="19">
        <f>Lähtötiedot!Q9*Lähtötiedot!F9*'Kotikonemallien lähtötiedot'!U6*'Päästökertoimet ja niiden laatu'!B22*Lähtötiedot!R9*Lähtötiedot!V9</f>
        <v>1125.6027522935781</v>
      </c>
      <c r="G82" s="8">
        <f>(Lähtötiedot!F16*'Päästökertoimet ja niiden laatu'!B7)*Lähtötiedot!Q9*Lähtötiedot!R9</f>
        <v>16551.287339449547</v>
      </c>
      <c r="H82" s="19">
        <f>Lähtötiedot!F15*'Päästökertoimet ja niiden laatu'!B8*'Päästökertoimet ja niiden laatu'!B17*Lähtötiedot!Q9*Lähtötiedot!R9</f>
        <v>4490.0831955963313</v>
      </c>
      <c r="I82" s="19">
        <f>Lähtötiedot!S9*Lähtötiedot!Q9*Lähtötiedot!F9*'Kotikonemallien lähtötiedot'!H6*'Päästökertoimet ja niiden laatu'!B21</f>
        <v>523.55226591206963</v>
      </c>
      <c r="J82" s="19">
        <f>Lähtötiedot!F9*Lähtötiedot!Q9*Lähtötiedot!S9*'Kotikonemallien lähtötiedot'!R6*'Päästökertoimet ja niiden laatu'!B21</f>
        <v>3405.7631559633028</v>
      </c>
      <c r="K82" s="19" t="e">
        <f>#REF!*'Päästökertoimet ja niiden laatu'!B11*Lähtötiedot!F9/1000*Lähtötiedot!Q9*Lähtötiedot!T9</f>
        <v>#REF!</v>
      </c>
      <c r="L82" s="6" t="e">
        <f>#REF!*'Päästökertoimet ja niiden laatu'!B12*Lähtötiedot!F9/1000*Lähtötiedot!Q9*'Päästökertoimet ja niiden laatu'!B17*Lähtötiedot!T9</f>
        <v>#REF!</v>
      </c>
      <c r="M82" s="8">
        <f ca="1">'Palveluntarjoajien lähtötiedot'!C7*Lähtötiedot!F9*Lähtötiedot!Q9*'Päästökertoimet ja niiden laatu'!B21*Lähtötiedot!T9</f>
        <v>619.877394495413</v>
      </c>
      <c r="N82" s="8">
        <f ca="1">'Palveluntarjoajien lähtötiedot'!F7*Lähtötiedot!F9*Lähtötiedot!Q9*'Päästökertoimet ja niiden laatu'!B23*'Päästökertoimet ja niiden laatu'!B25*'Päästökertoimet ja niiden laatu'!B26*'Palveluntarjoajien lähtötiedot'!G7*Lähtötiedot!T9</f>
        <v>3801.689514901484</v>
      </c>
      <c r="O82" s="8">
        <f ca="1">'Palveluntarjoajien lähtötiedot'!F7*Lähtötiedot!F9*Lähtötiedot!Q9*'Palveluntarjoajien lähtötiedot'!H7*'Päästökertoimet ja niiden laatu'!B28*'Päästökertoimet ja niiden laatu'!B29*Lähtötiedot!T9</f>
        <v>0.29638614649066031</v>
      </c>
      <c r="P82" s="8" t="e">
        <f>#REF!*'Päästökertoimet ja niiden laatu'!B11*Lähtötiedot!F9/1000*Lähtötiedot!Q9*Lähtötiedot!T9</f>
        <v>#REF!</v>
      </c>
      <c r="Q82" s="6" t="e">
        <f>#REF!*'Päästökertoimet ja niiden laatu'!B12*Lähtötiedot!F9/1000*Lähtötiedot!Q9*'Päästökertoimet ja niiden laatu'!B17*Lähtötiedot!T9</f>
        <v>#REF!</v>
      </c>
      <c r="R82" s="19" t="e">
        <f t="shared" si="4"/>
        <v>#REF!</v>
      </c>
      <c r="S82" s="10" t="e">
        <f>R82/Lähtötiedot!$L$9</f>
        <v>#REF!</v>
      </c>
      <c r="T82" s="49" t="e">
        <f ca="1">B82+C82+D82*$T$11+E82+F82+G82+H82+I82*$T$11+J82+K82+L82+M82+N82+O82+P82+Q82</f>
        <v>#REF!</v>
      </c>
      <c r="U82" s="10" t="e">
        <f ca="1">T82/Lähtötiedot!$L$9</f>
        <v>#REF!</v>
      </c>
      <c r="V82" s="50"/>
      <c r="W82" s="10" t="e">
        <f>R82/(Lähtötiedot!Q9*Lähtötiedot!F23)</f>
        <v>#REF!</v>
      </c>
    </row>
    <row r="83" spans="1:39" ht="13">
      <c r="A83" s="51" t="s">
        <v>204</v>
      </c>
      <c r="B83" s="52">
        <v>0</v>
      </c>
      <c r="C83" s="52">
        <v>0</v>
      </c>
      <c r="D83" s="53">
        <f>Lähtötiedot!Q9*Lähtötiedot!F9*'Kotikonemallien lähtötiedot'!H6*'Päästökertoimet ja niiden laatu'!B21*Lähtötiedot!R9</f>
        <v>523.55226591206974</v>
      </c>
      <c r="E83" s="53">
        <f>Lähtötiedot!Q9*Lähtötiedot!F9*'Kotikonemallien lähtötiedot'!M6*'Päästökertoimet ja niiden laatu'!B21*Lähtötiedot!U9*Lähtötiedot!R9</f>
        <v>970.91223263433824</v>
      </c>
      <c r="F83" s="52">
        <f>Lähtötiedot!Q9*Lähtötiedot!F9*'Kotikonemallien lähtötiedot'!U6*'Päästökertoimet ja niiden laatu'!B22*Lähtötiedot!R9*Lähtötiedot!V9</f>
        <v>1125.6027522935781</v>
      </c>
      <c r="G83" s="52">
        <v>0</v>
      </c>
      <c r="H83" s="52">
        <v>0</v>
      </c>
      <c r="I83" s="52">
        <f>Lähtötiedot!S9*Lähtötiedot!Q9*Lähtötiedot!F9*'Kotikonemallien lähtötiedot'!H6*'Päästökertoimet ja niiden laatu'!B21</f>
        <v>523.55226591206963</v>
      </c>
      <c r="J83" s="52">
        <f>Lähtötiedot!F9*Lähtötiedot!Q9*Lähtötiedot!S9*'Kotikonemallien lähtötiedot'!R6*'Päästökertoimet ja niiden laatu'!B21</f>
        <v>3405.7631559633028</v>
      </c>
      <c r="K83" s="52">
        <f>Lähtötiedot!F18*'Päästökertoimet ja niiden laatu'!B11*Lähtötiedot!F9/1000*Lähtötiedot!Q9*Lähtötiedot!T9</f>
        <v>0.95505688073394512</v>
      </c>
      <c r="L83" s="57">
        <f>Lähtötiedot!F18*'Päästökertoimet ja niiden laatu'!B12*Lähtötiedot!F9/1000*Lähtötiedot!Q9*'Päästökertoimet ja niiden laatu'!B17*Lähtötiedot!T9</f>
        <v>0.2538328954128441</v>
      </c>
      <c r="M83" s="53">
        <f ca="1">'Palveluntarjoajien lähtötiedot'!C7*Lähtötiedot!F9*Lähtötiedot!Q9*'Päästökertoimet ja niiden laatu'!B21*Lähtötiedot!T9</f>
        <v>619.877394495413</v>
      </c>
      <c r="N83" s="53">
        <f ca="1">'Palveluntarjoajien lähtötiedot'!F7*Lähtötiedot!F9*Lähtötiedot!Q9*'Päästökertoimet ja niiden laatu'!B23*'Päästökertoimet ja niiden laatu'!B25*'Päästökertoimet ja niiden laatu'!B26*'Palveluntarjoajien lähtötiedot'!G7*Lähtötiedot!T9</f>
        <v>3801.689514901484</v>
      </c>
      <c r="O83" s="53">
        <f ca="1">'Palveluntarjoajien lähtötiedot'!F7*Lähtötiedot!F9*Lähtötiedot!Q9*'Palveluntarjoajien lähtötiedot'!H7*'Päästökertoimet ja niiden laatu'!B28*'Päästökertoimet ja niiden laatu'!B29*Lähtötiedot!T9</f>
        <v>0.29638614649066031</v>
      </c>
      <c r="P83" s="53">
        <f>Lähtötiedot!F18*'Päästökertoimet ja niiden laatu'!B11*Lähtötiedot!F9/1000*Lähtötiedot!Q9*Lähtötiedot!T9</f>
        <v>0.95505688073394512</v>
      </c>
      <c r="Q83" s="57">
        <f>Lähtötiedot!F18*'Päästökertoimet ja niiden laatu'!B12*Lähtötiedot!F9/1000*Lähtötiedot!Q9*'Päästökertoimet ja niiden laatu'!B17*Lähtötiedot!T9</f>
        <v>0.2538328954128441</v>
      </c>
      <c r="R83" s="52">
        <f t="shared" ca="1" si="4"/>
        <v>10973.663747811037</v>
      </c>
      <c r="S83" s="10">
        <f ca="1">R83/Lähtötiedot!$L$9/1000</f>
        <v>3.6578879159370121</v>
      </c>
      <c r="T83" s="55">
        <f ca="1">B83+C83+D83*$T$11+E83+F83+G83+H83+I83*$T$11+J83+K83+L83+M83+N83+O83+P83+Q83</f>
        <v>12020.768279635176</v>
      </c>
      <c r="V83" s="56"/>
      <c r="W83" s="47">
        <f ca="1">R83/(Lähtötiedot!Q9*Lähtötiedot!F23)</f>
        <v>7.5098451114487583E-2</v>
      </c>
      <c r="X83" s="89"/>
      <c r="Y83" s="89"/>
      <c r="Z83" s="89"/>
      <c r="AA83" s="89"/>
      <c r="AB83" s="89"/>
      <c r="AC83" s="89"/>
      <c r="AD83" s="89"/>
      <c r="AE83" s="89"/>
      <c r="AF83" s="89"/>
      <c r="AG83" s="89"/>
      <c r="AH83" s="89"/>
      <c r="AI83" s="89"/>
      <c r="AJ83" s="89"/>
      <c r="AK83" s="89"/>
      <c r="AL83" s="89"/>
      <c r="AM83" s="89"/>
    </row>
    <row r="84" spans="1:39" ht="13">
      <c r="A84" s="51" t="s">
        <v>205</v>
      </c>
      <c r="B84" s="47">
        <f>B83/Lähtötiedot!$L$9/1000</f>
        <v>0</v>
      </c>
      <c r="C84" s="47">
        <f>C83/Lähtötiedot!$L$9/1000</f>
        <v>0</v>
      </c>
      <c r="D84" s="47">
        <f>D83/Lähtötiedot!$L$9/1000</f>
        <v>0.17451742197068992</v>
      </c>
      <c r="E84" s="47">
        <f>E83/Lähtötiedot!$L$9/1000</f>
        <v>0.32363741087811276</v>
      </c>
      <c r="F84" s="47">
        <f>F83/Lähtötiedot!$L$9/1000</f>
        <v>0.37520091743119272</v>
      </c>
      <c r="G84" s="47">
        <f>G83/Lähtötiedot!$L$9/1000</f>
        <v>0</v>
      </c>
      <c r="H84" s="47">
        <f>H83/Lähtötiedot!$L$9/1000</f>
        <v>0</v>
      </c>
      <c r="I84" s="47">
        <f>I83/Lähtötiedot!$L$9/1000</f>
        <v>0.17451742197068987</v>
      </c>
      <c r="J84" s="47">
        <f>J83/Lähtötiedot!$L$9/1000</f>
        <v>1.135254385321101</v>
      </c>
      <c r="K84" s="47">
        <f>K83/Lähtötiedot!$L$9/1000</f>
        <v>3.1835229357798174E-4</v>
      </c>
      <c r="L84" s="47">
        <f>L83/Lähtötiedot!$L$9/1000</f>
        <v>8.461096513761469E-5</v>
      </c>
      <c r="M84" s="47">
        <f ca="1">M83/Lähtötiedot!$L$9/1000</f>
        <v>0.20662579816513765</v>
      </c>
      <c r="N84" s="47">
        <f ca="1">N83/Lähtötiedot!$L$9/1000</f>
        <v>1.2672298383004947</v>
      </c>
      <c r="O84" s="47">
        <f ca="1">O83/Lähtötiedot!$L$9/1000</f>
        <v>9.879538216355344E-5</v>
      </c>
      <c r="P84" s="47">
        <f>P83/Lähtötiedot!$L$9/1000</f>
        <v>3.1835229357798174E-4</v>
      </c>
      <c r="Q84" s="47">
        <f>Q83/Lähtötiedot!$L$9/1000</f>
        <v>8.461096513761469E-5</v>
      </c>
      <c r="R84" s="57">
        <f t="shared" ca="1" si="4"/>
        <v>3.6578879159370139</v>
      </c>
      <c r="S84" s="10"/>
      <c r="T84" s="55"/>
      <c r="U84" s="47">
        <f ca="1">T83/Lähtötiedot!$L$9/1000</f>
        <v>4.0069227598783925</v>
      </c>
      <c r="V84" s="56"/>
      <c r="W84" s="47"/>
      <c r="X84" s="89"/>
      <c r="Y84" s="89"/>
      <c r="Z84" s="89"/>
      <c r="AA84" s="89"/>
      <c r="AB84" s="89"/>
      <c r="AC84" s="89"/>
      <c r="AD84" s="89"/>
      <c r="AE84" s="89"/>
      <c r="AF84" s="89"/>
      <c r="AG84" s="89"/>
      <c r="AH84" s="89"/>
      <c r="AI84" s="89"/>
      <c r="AJ84" s="89"/>
      <c r="AK84" s="89"/>
      <c r="AL84" s="89"/>
      <c r="AM84" s="89"/>
    </row>
    <row r="85" spans="1:39" ht="13">
      <c r="A85" s="58" t="s">
        <v>206</v>
      </c>
      <c r="B85" s="52">
        <f>B83</f>
        <v>0</v>
      </c>
      <c r="C85" s="52">
        <f>C83</f>
        <v>0</v>
      </c>
      <c r="D85" s="53">
        <f>Lähtötiedot!Q9*Lähtötiedot!F9*'Kotikonemallien lähtötiedot'!H6*'Päästökertoimet ja niiden laatu'!B20*Lähtötiedot!R9</f>
        <v>40.844503014416787</v>
      </c>
      <c r="E85" s="53">
        <f>Lähtötiedot!Q9*Lähtötiedot!F9*'Kotikonemallien lähtötiedot'!M6*'Päästökertoimet ja niiden laatu'!B20*Lähtötiedot!U9*Lähtötiedot!R9</f>
        <v>75.744925950196603</v>
      </c>
      <c r="F85" s="52">
        <f>F83</f>
        <v>1125.6027522935781</v>
      </c>
      <c r="G85" s="52">
        <f>G83</f>
        <v>0</v>
      </c>
      <c r="H85" s="52">
        <f>H83</f>
        <v>0</v>
      </c>
      <c r="I85" s="52">
        <f>Lähtötiedot!S9*Lähtötiedot!Q9*Lähtötiedot!F9*'Kotikonemallien lähtötiedot'!H6*'Päästökertoimet ja niiden laatu'!B20</f>
        <v>40.84450301441678</v>
      </c>
      <c r="J85" s="52">
        <f>Lähtötiedot!F9*Lähtötiedot!Q9*Lähtötiedot!S9*'Kotikonemallien lähtötiedot'!R6*'Päästökertoimet ja niiden laatu'!B20</f>
        <v>265.69783486238532</v>
      </c>
      <c r="K85" s="52">
        <f>K83</f>
        <v>0.95505688073394512</v>
      </c>
      <c r="L85" s="57">
        <f>L83</f>
        <v>0.2538328954128441</v>
      </c>
      <c r="M85" s="53">
        <f ca="1">'Palveluntarjoajien lähtötiedot'!C7*Lähtötiedot!F9*Lähtötiedot!Q9*'Päästökertoimet ja niiden laatu'!B20*Lähtötiedot!T9</f>
        <v>48.359229357798171</v>
      </c>
      <c r="N85" s="53">
        <f>'Palveluntarjoajien lähtötiedot'!F7*Lähtötiedot!F9*Lähtötiedot!Q9*'Päästökertoimet ja niiden laatu'!B23*'Päästökertoimet ja niiden laatu'!B25*'Päästökertoimet ja niiden laatu'!B26*V11*Lähtötiedot!T9</f>
        <v>0</v>
      </c>
      <c r="O85" s="53">
        <f>'Palveluntarjoajien lähtötiedot'!F7*Lähtötiedot!F9*Lähtötiedot!Q9*V10*'Päästökertoimet ja niiden laatu'!B28*'Päästökertoimet ja niiden laatu'!B29*Lähtötiedot!T9</f>
        <v>44.457921973599099</v>
      </c>
      <c r="P85" s="53">
        <f>P83</f>
        <v>0.95505688073394512</v>
      </c>
      <c r="Q85" s="57">
        <f>Q83</f>
        <v>0.2538328954128441</v>
      </c>
      <c r="R85" s="60">
        <f t="shared" ca="1" si="4"/>
        <v>1643.9694500186845</v>
      </c>
      <c r="S85" s="61">
        <f ca="1">R85/Lähtötiedot!$L$9/1000</f>
        <v>0.54798981667289481</v>
      </c>
      <c r="T85" s="55"/>
      <c r="U85" s="47"/>
      <c r="V85" s="56"/>
      <c r="W85" s="47"/>
      <c r="X85" s="89"/>
      <c r="Y85" s="89"/>
      <c r="Z85" s="89"/>
      <c r="AA85" s="89"/>
      <c r="AB85" s="89"/>
      <c r="AC85" s="89"/>
      <c r="AD85" s="89"/>
      <c r="AE85" s="89"/>
      <c r="AF85" s="89"/>
      <c r="AG85" s="89"/>
      <c r="AH85" s="89"/>
      <c r="AI85" s="89"/>
      <c r="AJ85" s="89"/>
      <c r="AK85" s="89"/>
      <c r="AL85" s="89"/>
      <c r="AM85" s="89"/>
    </row>
    <row r="86" spans="1:39" ht="13">
      <c r="A86" s="51" t="s">
        <v>207</v>
      </c>
      <c r="D86" s="8">
        <f>Lähtötiedot!F9*Lähtötiedot!Q9*'Kotikonemallien lähtötiedot'!I6*Lähtötiedot!R9</f>
        <v>224.89171218872872</v>
      </c>
      <c r="I86" s="8">
        <f>Lähtötiedot!F9*Lähtötiedot!Q9*'Kotikonemallien lähtötiedot'!I6*Lähtötiedot!S9</f>
        <v>224.89171218872872</v>
      </c>
      <c r="M86" s="8">
        <f>'Palveluntarjoajien lähtötiedot'!I7*Lähtötiedot!F9*Lähtötiedot!Q9*Lähtötiedot!T9</f>
        <v>93.231743119266071</v>
      </c>
      <c r="R86" s="65">
        <f t="shared" si="4"/>
        <v>543.01516749672351</v>
      </c>
      <c r="S86" s="96">
        <f>R86/Lähtötiedot!$L$9</f>
        <v>181.00505583224117</v>
      </c>
      <c r="T86" s="62"/>
      <c r="U86" s="57"/>
      <c r="V86" s="63"/>
      <c r="W86" s="91">
        <f>R86/(Lähtötiedot!Q9*Lähtötiedot!F23)</f>
        <v>3.7161333669270174E-3</v>
      </c>
    </row>
    <row r="87" spans="1:39" ht="12.5">
      <c r="S87" s="92"/>
      <c r="T87" s="93"/>
      <c r="U87" s="92"/>
      <c r="V87" s="94"/>
    </row>
    <row r="88" spans="1:39" ht="13">
      <c r="A88" s="331" t="str">
        <f>(Lähtötiedot!B5&amp;", "&amp;Lähtötiedot!C5)</f>
        <v>Toimija 2, Toimija 2 vaate 1</v>
      </c>
      <c r="B88" s="330" t="str">
        <f>Lähtötiedot!C5</f>
        <v>Toimija 2 vaate 1</v>
      </c>
      <c r="C88" s="302"/>
      <c r="D88" s="302"/>
      <c r="E88" s="302"/>
      <c r="F88" s="302"/>
      <c r="G88" s="302"/>
      <c r="H88" s="302"/>
      <c r="I88" s="302"/>
      <c r="J88" s="302"/>
      <c r="K88" s="302"/>
      <c r="L88" s="302"/>
      <c r="M88" s="302"/>
      <c r="N88" s="302"/>
      <c r="O88" s="302"/>
      <c r="P88" s="302"/>
      <c r="Q88" s="302"/>
      <c r="R88" s="302"/>
      <c r="S88" s="82"/>
      <c r="T88" s="83"/>
      <c r="U88" s="45"/>
      <c r="V88" s="84"/>
      <c r="W88" s="331" t="s">
        <v>190</v>
      </c>
    </row>
    <row r="89" spans="1:39" ht="13">
      <c r="A89" s="302"/>
      <c r="B89" s="1" t="s">
        <v>210</v>
      </c>
      <c r="C89" s="1" t="s">
        <v>193</v>
      </c>
      <c r="D89" s="1" t="s">
        <v>211</v>
      </c>
      <c r="E89" s="1" t="s">
        <v>212</v>
      </c>
      <c r="F89" s="1" t="s">
        <v>213</v>
      </c>
      <c r="G89" s="1" t="s">
        <v>214</v>
      </c>
      <c r="H89" s="1" t="s">
        <v>193</v>
      </c>
      <c r="K89" s="1"/>
      <c r="R89" s="1" t="s">
        <v>200</v>
      </c>
      <c r="S89" s="47" t="s">
        <v>201</v>
      </c>
      <c r="T89" s="71"/>
      <c r="U89" s="47"/>
      <c r="V89" s="72"/>
      <c r="W89" s="302"/>
    </row>
    <row r="90" spans="1:39" ht="13">
      <c r="A90" s="51" t="s">
        <v>220</v>
      </c>
      <c r="B90" s="8">
        <f>Lähtötiedot!F18*'Päästökertoimet ja niiden laatu'!B11*(Lähtötiedot!F5*Lähtötiedot!Q5)/1000</f>
        <v>6.3670458715596343</v>
      </c>
      <c r="C90" s="8">
        <f>Lähtötiedot!F18*'Päästökertoimet ja niiden laatu'!B12*'Päästökertoimet ja niiden laatu'!B17*Lähtötiedot!F5/1000*Lähtötiedot!Q5</f>
        <v>1.6922193027522938</v>
      </c>
      <c r="D90" s="8">
        <f ca="1">'Palveluntarjoajien lähtötiedot'!C7*Lähtötiedot!F5*Lähtötiedot!Q5*'Päästökertoimet ja niiden laatu'!B21</f>
        <v>4132.5159633027533</v>
      </c>
      <c r="E90" s="8">
        <f ca="1">'Palveluntarjoajien lähtötiedot'!F7*Lähtötiedot!F5*Lähtötiedot!Q5*'Päästökertoimet ja niiden laatu'!B23*'Päästökertoimet ja niiden laatu'!B25*'Päästökertoimet ja niiden laatu'!B26*'Palveluntarjoajien lähtötiedot'!G7</f>
        <v>25344.59676600989</v>
      </c>
      <c r="F90" s="8">
        <f ca="1">'Palveluntarjoajien lähtötiedot'!F7*Lähtötiedot!F5*Lähtötiedot!Q5*'Palveluntarjoajien lähtötiedot'!H7*'Päästökertoimet ja niiden laatu'!B28*'Päästökertoimet ja niiden laatu'!B29</f>
        <v>1.9759076432710689</v>
      </c>
      <c r="G90" s="8">
        <f>Lähtötiedot!F18*'Päästökertoimet ja niiden laatu'!B11*(Lähtötiedot!F5*Lähtötiedot!Q5)/1000</f>
        <v>6.3670458715596343</v>
      </c>
      <c r="H90" s="8">
        <f>Lähtötiedot!F18*'Päästökertoimet ja niiden laatu'!B12*'Päästökertoimet ja niiden laatu'!B17*Lähtötiedot!F5/1000*Lähtötiedot!Q5</f>
        <v>1.6922193027522938</v>
      </c>
      <c r="I90" s="13"/>
      <c r="J90" s="13"/>
      <c r="K90" s="13"/>
      <c r="L90" s="13"/>
      <c r="M90" s="13"/>
      <c r="N90" s="13"/>
      <c r="O90" s="13"/>
      <c r="P90" s="13"/>
      <c r="Q90" s="13"/>
      <c r="R90" s="53">
        <f ca="1">SUM(B90:Q90)</f>
        <v>29495.207167304539</v>
      </c>
      <c r="S90" s="57">
        <f ca="1">R90/Lähtötiedot!$L$5/1000</f>
        <v>58.990414334609078</v>
      </c>
      <c r="T90" s="85"/>
      <c r="U90" s="57"/>
      <c r="V90" s="86"/>
      <c r="W90" s="57">
        <f ca="1">R90/(Lähtötiedot!Q5*Lähtötiedot!F23)</f>
        <v>0.15138820710681161</v>
      </c>
    </row>
    <row r="91" spans="1:39" ht="13">
      <c r="A91" s="51" t="s">
        <v>205</v>
      </c>
      <c r="B91" s="52">
        <f>B90/Lähtötiedot!$L$5/1000</f>
        <v>1.2734091743119269E-2</v>
      </c>
      <c r="C91" s="52">
        <f>C90/Lähtötiedot!$L$5/1000</f>
        <v>3.3844386055045875E-3</v>
      </c>
      <c r="D91" s="52">
        <f ca="1">D90/Lähtötiedot!$L$5/1000</f>
        <v>8.2650319266055075</v>
      </c>
      <c r="E91" s="52">
        <f ca="1">E90/Lähtötiedot!$L$5/1000</f>
        <v>50.689193532019779</v>
      </c>
      <c r="F91" s="52">
        <f ca="1">F90/Lähtötiedot!$L$5/1000</f>
        <v>3.9518152865421381E-3</v>
      </c>
      <c r="G91" s="52">
        <f>G90/Lähtötiedot!$L$5/1000</f>
        <v>1.2734091743119269E-2</v>
      </c>
      <c r="H91" s="52">
        <f>H90/Lähtötiedot!$L$5/1000</f>
        <v>3.3844386055045875E-3</v>
      </c>
      <c r="I91" s="52"/>
      <c r="J91" s="52"/>
      <c r="K91" s="13"/>
      <c r="L91" s="13"/>
      <c r="M91" s="13"/>
      <c r="N91" s="13"/>
      <c r="O91" s="13"/>
      <c r="P91" s="13"/>
      <c r="Q91" s="13"/>
      <c r="R91" s="53">
        <f ca="1">SUM(B91:Q91)</f>
        <v>58.990414334609078</v>
      </c>
      <c r="S91" s="57"/>
      <c r="T91" s="85"/>
      <c r="U91" s="57"/>
      <c r="V91" s="86"/>
      <c r="W91" s="57"/>
    </row>
    <row r="92" spans="1:39" ht="13">
      <c r="A92" s="58" t="s">
        <v>206</v>
      </c>
      <c r="B92" s="8">
        <f>B90</f>
        <v>6.3670458715596343</v>
      </c>
      <c r="C92" s="8">
        <f>C90</f>
        <v>1.6922193027522938</v>
      </c>
      <c r="D92" s="8">
        <f ca="1">'Palveluntarjoajien lähtötiedot'!C7*Lähtötiedot!F5*Lähtötiedot!Q5*'Päästökertoimet ja niiden laatu'!B20</f>
        <v>322.39486238532118</v>
      </c>
      <c r="E92" s="8">
        <f>'Palveluntarjoajien lähtötiedot'!F7*Lähtötiedot!F5*Lähtötiedot!Q5*'Päästökertoimet ja niiden laatu'!B23*'Päästökertoimet ja niiden laatu'!B25*'Päästökertoimet ja niiden laatu'!B26*V11</f>
        <v>0</v>
      </c>
      <c r="F92" s="8">
        <f>'Palveluntarjoajien lähtötiedot'!F7*Lähtötiedot!F5*Lähtötiedot!Q5*V10*'Päästökertoimet ja niiden laatu'!B28*'Päästökertoimet ja niiden laatu'!B29</f>
        <v>296.38614649066068</v>
      </c>
      <c r="G92" s="8">
        <f>G90</f>
        <v>6.3670458715596343</v>
      </c>
      <c r="H92" s="8">
        <f>H90</f>
        <v>1.6922193027522938</v>
      </c>
      <c r="I92" s="13"/>
      <c r="J92" s="13"/>
      <c r="K92" s="13"/>
      <c r="L92" s="13"/>
      <c r="M92" s="13"/>
      <c r="N92" s="13"/>
      <c r="O92" s="13"/>
      <c r="P92" s="13"/>
      <c r="Q92" s="13"/>
      <c r="R92" s="60">
        <f ca="1">SUM(B92:Q92)</f>
        <v>634.89953922460575</v>
      </c>
      <c r="S92" s="88">
        <f ca="1">R92/Lähtötiedot!$L$5/1000</f>
        <v>1.2697990784492115</v>
      </c>
      <c r="T92" s="85"/>
      <c r="U92" s="57"/>
      <c r="V92" s="86"/>
      <c r="W92" s="57"/>
    </row>
    <row r="93" spans="1:39" ht="13">
      <c r="A93" s="51" t="s">
        <v>207</v>
      </c>
      <c r="B93" s="13"/>
      <c r="C93" s="13"/>
      <c r="D93" s="8">
        <f>'Palveluntarjoajien lähtötiedot'!I7*Lähtötiedot!F5*Lähtötiedot!Q5</f>
        <v>621.54495412844051</v>
      </c>
      <c r="E93" s="13"/>
      <c r="F93" s="13"/>
      <c r="G93" s="13"/>
      <c r="H93" s="13"/>
      <c r="I93" s="13"/>
      <c r="J93" s="13"/>
      <c r="K93" s="13"/>
      <c r="L93" s="13"/>
      <c r="M93" s="13"/>
      <c r="N93" s="13"/>
      <c r="O93" s="13"/>
      <c r="P93" s="13"/>
      <c r="Q93" s="13"/>
      <c r="R93" s="65">
        <f>SUM(B93:Q93)</f>
        <v>621.54495412844051</v>
      </c>
      <c r="S93" s="65">
        <f>R93/Lähtötiedot!$L$5</f>
        <v>1243.089908256881</v>
      </c>
      <c r="T93" s="62"/>
      <c r="U93" s="57"/>
      <c r="V93" s="63"/>
      <c r="W93" s="98">
        <f>R93/(Lähtötiedot!Q5*Lähtötiedot!F23)</f>
        <v>3.190164954870837E-3</v>
      </c>
    </row>
    <row r="94" spans="1:39" ht="12.5">
      <c r="A94" s="13"/>
      <c r="B94" s="13"/>
      <c r="C94" s="13"/>
      <c r="D94" s="13"/>
      <c r="E94" s="13"/>
      <c r="F94" s="13"/>
      <c r="G94" s="13"/>
      <c r="H94" s="13"/>
      <c r="I94" s="13"/>
      <c r="J94" s="13"/>
      <c r="K94" s="13"/>
      <c r="L94" s="13"/>
      <c r="M94" s="13"/>
      <c r="N94" s="13"/>
      <c r="O94" s="13"/>
      <c r="P94" s="13"/>
      <c r="Q94" s="13"/>
      <c r="R94" s="13"/>
      <c r="S94" s="6"/>
      <c r="T94" s="67"/>
      <c r="U94" s="6"/>
      <c r="V94" s="68"/>
      <c r="W94" s="13"/>
    </row>
    <row r="95" spans="1:39" ht="13">
      <c r="A95" s="331" t="str">
        <f>(Lähtötiedot!B5&amp;", "&amp;Lähtötiedot!C6)</f>
        <v>Toimija 2, Toimija 2 vaate 2</v>
      </c>
      <c r="B95" s="330" t="str">
        <f>Lähtötiedot!C6</f>
        <v>Toimija 2 vaate 2</v>
      </c>
      <c r="C95" s="302"/>
      <c r="D95" s="302"/>
      <c r="E95" s="302"/>
      <c r="F95" s="302"/>
      <c r="G95" s="302"/>
      <c r="H95" s="302"/>
      <c r="I95" s="302"/>
      <c r="J95" s="302"/>
      <c r="K95" s="302"/>
      <c r="L95" s="302"/>
      <c r="M95" s="302"/>
      <c r="N95" s="302"/>
      <c r="O95" s="302"/>
      <c r="P95" s="302"/>
      <c r="Q95" s="302"/>
      <c r="R95" s="302"/>
      <c r="S95" s="82"/>
      <c r="T95" s="83"/>
      <c r="U95" s="45"/>
      <c r="V95" s="84"/>
      <c r="W95" s="331" t="s">
        <v>216</v>
      </c>
    </row>
    <row r="96" spans="1:39" ht="13">
      <c r="A96" s="302"/>
      <c r="B96" s="1" t="s">
        <v>210</v>
      </c>
      <c r="C96" s="1" t="s">
        <v>193</v>
      </c>
      <c r="D96" s="1" t="s">
        <v>211</v>
      </c>
      <c r="E96" s="1" t="s">
        <v>212</v>
      </c>
      <c r="F96" s="1" t="s">
        <v>213</v>
      </c>
      <c r="G96" s="1" t="s">
        <v>214</v>
      </c>
      <c r="H96" s="1" t="s">
        <v>193</v>
      </c>
      <c r="K96" s="1"/>
      <c r="R96" s="1" t="s">
        <v>200</v>
      </c>
      <c r="S96" s="47" t="s">
        <v>201</v>
      </c>
      <c r="T96" s="71"/>
      <c r="U96" s="47"/>
      <c r="V96" s="72"/>
      <c r="W96" s="302"/>
    </row>
    <row r="97" spans="1:23" ht="13">
      <c r="A97" s="51" t="s">
        <v>220</v>
      </c>
      <c r="B97" s="8">
        <f>Lähtötiedot!F18*'Päästökertoimet ja niiden laatu'!B11*(Lähtötiedot!F6*Lähtötiedot!Q6)/1000</f>
        <v>38.202275229357802</v>
      </c>
      <c r="C97" s="8">
        <f>Lähtötiedot!F18*'Päästökertoimet ja niiden laatu'!B12*'Päästökertoimet ja niiden laatu'!B17*Lähtötiedot!F6/1000*Lähtötiedot!Q6</f>
        <v>10.153315816513762</v>
      </c>
      <c r="D97" s="8">
        <f ca="1">'Palveluntarjoajien lähtötiedot'!C7*Lähtötiedot!F6*Lähtötiedot!Q6*'Päästökertoimet ja niiden laatu'!B21</f>
        <v>24795.095779816518</v>
      </c>
      <c r="E97" s="8">
        <f ca="1">'Palveluntarjoajien lähtötiedot'!F7*Lähtötiedot!F6*Lähtötiedot!Q6*'Päästökertoimet ja niiden laatu'!B23*'Päästökertoimet ja niiden laatu'!B25*'Päästökertoimet ja niiden laatu'!B26*'Palveluntarjoajien lähtötiedot'!G7</f>
        <v>152067.58059605936</v>
      </c>
      <c r="F97" s="8">
        <f ca="1">'Palveluntarjoajien lähtötiedot'!F7*Lähtötiedot!F6*Lähtötiedot!Q6*'Palveluntarjoajien lähtötiedot'!H7*'Päästökertoimet ja niiden laatu'!B28*'Päästökertoimet ja niiden laatu'!B29</f>
        <v>11.855445859626412</v>
      </c>
      <c r="G97" s="8">
        <f>Lähtötiedot!F18*'Päästökertoimet ja niiden laatu'!B11*(Lähtötiedot!F6*Lähtötiedot!Q6)/1000</f>
        <v>38.202275229357802</v>
      </c>
      <c r="H97" s="8">
        <f>Lähtötiedot!F18*'Päästökertoimet ja niiden laatu'!B12*'Päästökertoimet ja niiden laatu'!B17*Lähtötiedot!F6/1000*Lähtötiedot!Q6</f>
        <v>10.153315816513762</v>
      </c>
      <c r="I97" s="13"/>
      <c r="J97" s="13"/>
      <c r="K97" s="13"/>
      <c r="L97" s="13"/>
      <c r="M97" s="13"/>
      <c r="N97" s="13"/>
      <c r="O97" s="13"/>
      <c r="P97" s="13"/>
      <c r="Q97" s="13"/>
      <c r="R97" s="53">
        <f ca="1">SUM(B97:Q97)</f>
        <v>176971.24300382726</v>
      </c>
      <c r="S97" s="57">
        <f ca="1">R97/Lähtötiedot!$L$6/1000</f>
        <v>58.990414334609085</v>
      </c>
      <c r="T97" s="85"/>
      <c r="U97" s="57"/>
      <c r="V97" s="86"/>
      <c r="W97" s="57">
        <f ca="1">R97/(Lähtötiedot!Q6*Lähtötiedot!F23)</f>
        <v>0.15138820710681164</v>
      </c>
    </row>
    <row r="98" spans="1:23" ht="13">
      <c r="A98" s="51" t="s">
        <v>205</v>
      </c>
      <c r="B98" s="47">
        <f>B97/Lähtötiedot!$L$6/1000</f>
        <v>1.2734091743119267E-2</v>
      </c>
      <c r="C98" s="47">
        <f>C97/Lähtötiedot!$L$6/1000</f>
        <v>3.3844386055045875E-3</v>
      </c>
      <c r="D98" s="47">
        <f ca="1">D97/Lähtötiedot!$L$6/1000</f>
        <v>8.2650319266055075</v>
      </c>
      <c r="E98" s="47">
        <f ca="1">E97/Lähtötiedot!$L$6/1000</f>
        <v>50.689193532019786</v>
      </c>
      <c r="F98" s="47">
        <f ca="1">F97/Lähtötiedot!$L$6/1000</f>
        <v>3.9518152865421373E-3</v>
      </c>
      <c r="G98" s="47">
        <f>G97/Lähtötiedot!$L$6/1000</f>
        <v>1.2734091743119267E-2</v>
      </c>
      <c r="H98" s="47">
        <f>H97/Lähtötiedot!$L$6/1000</f>
        <v>3.3844386055045875E-3</v>
      </c>
      <c r="I98" s="13"/>
      <c r="J98" s="13"/>
      <c r="K98" s="13"/>
      <c r="L98" s="13"/>
      <c r="M98" s="13"/>
      <c r="N98" s="13"/>
      <c r="O98" s="13"/>
      <c r="P98" s="13"/>
      <c r="Q98" s="13"/>
      <c r="R98" s="57">
        <f ca="1">SUM(B98:Q98)</f>
        <v>58.990414334609085</v>
      </c>
      <c r="S98" s="57"/>
      <c r="T98" s="85"/>
      <c r="U98" s="57"/>
      <c r="V98" s="86"/>
      <c r="W98" s="57"/>
    </row>
    <row r="99" spans="1:23" ht="13">
      <c r="A99" s="58" t="s">
        <v>206</v>
      </c>
      <c r="B99" s="8">
        <f>B97</f>
        <v>38.202275229357802</v>
      </c>
      <c r="C99" s="8">
        <f>C97</f>
        <v>10.153315816513762</v>
      </c>
      <c r="D99" s="8">
        <f ca="1">'Palveluntarjoajien lähtötiedot'!C7*Lähtötiedot!F6*Lähtötiedot!Q6*'Päästökertoimet ja niiden laatu'!B20</f>
        <v>1934.3691743119268</v>
      </c>
      <c r="E99" s="8">
        <f>'Palveluntarjoajien lähtötiedot'!F7*Lähtötiedot!F6*Lähtötiedot!Q6*'Päästökertoimet ja niiden laatu'!B23*'Päästökertoimet ja niiden laatu'!B25*'Päästökertoimet ja niiden laatu'!B26*V11</f>
        <v>0</v>
      </c>
      <c r="F99" s="8">
        <f>'Palveluntarjoajien lähtötiedot'!F7*Lähtötiedot!F6*Lähtötiedot!Q6*V10*'Päästökertoimet ja niiden laatu'!B28*'Päästökertoimet ja niiden laatu'!B29</f>
        <v>1778.316878943964</v>
      </c>
      <c r="G99" s="8">
        <f>G97</f>
        <v>38.202275229357802</v>
      </c>
      <c r="H99" s="8">
        <f>H97</f>
        <v>10.153315816513762</v>
      </c>
      <c r="I99" s="13"/>
      <c r="J99" s="13"/>
      <c r="K99" s="13"/>
      <c r="L99" s="13"/>
      <c r="M99" s="13"/>
      <c r="N99" s="13"/>
      <c r="O99" s="13"/>
      <c r="P99" s="13"/>
      <c r="Q99" s="13"/>
      <c r="R99" s="60">
        <f ca="1">SUM(B99:Q99)</f>
        <v>3809.3972353476338</v>
      </c>
      <c r="S99" s="88">
        <f ca="1">R99/Lähtötiedot!$L$6/1000</f>
        <v>1.2697990784492112</v>
      </c>
      <c r="T99" s="85"/>
      <c r="U99" s="57"/>
      <c r="V99" s="86"/>
      <c r="W99" s="57"/>
    </row>
    <row r="100" spans="1:23" ht="13">
      <c r="A100" s="51" t="s">
        <v>207</v>
      </c>
      <c r="D100" s="8">
        <f>'Palveluntarjoajien lähtötiedot'!I7*Lähtötiedot!F6*Lähtötiedot!Q6</f>
        <v>3729.2697247706428</v>
      </c>
      <c r="R100" s="65">
        <f>SUM(B100:Q100)</f>
        <v>3729.2697247706428</v>
      </c>
      <c r="S100" s="65">
        <f>R100/Lähtötiedot!$L$6</f>
        <v>1243.089908256881</v>
      </c>
      <c r="T100" s="62"/>
      <c r="U100" s="57"/>
      <c r="V100" s="63"/>
      <c r="W100" s="91">
        <f>R100/(Lähtötiedot!Q6*Lähtötiedot!F23)</f>
        <v>3.190164954870837E-3</v>
      </c>
    </row>
    <row r="101" spans="1:23" ht="12.5">
      <c r="S101" s="92"/>
      <c r="T101" s="93"/>
      <c r="U101" s="92"/>
      <c r="V101" s="94"/>
    </row>
    <row r="102" spans="1:23" ht="13">
      <c r="A102" s="331" t="str">
        <f>(Lähtötiedot!B5&amp;", "&amp;Lähtötiedot!C7)</f>
        <v>Toimija 2, Toimija 2 vaate 3</v>
      </c>
      <c r="B102" s="330" t="str">
        <f>Lähtötiedot!C7</f>
        <v>Toimija 2 vaate 3</v>
      </c>
      <c r="C102" s="302"/>
      <c r="D102" s="302"/>
      <c r="E102" s="302"/>
      <c r="F102" s="302"/>
      <c r="G102" s="302"/>
      <c r="H102" s="302"/>
      <c r="I102" s="302"/>
      <c r="J102" s="302"/>
      <c r="K102" s="302"/>
      <c r="L102" s="302"/>
      <c r="M102" s="302"/>
      <c r="N102" s="302"/>
      <c r="O102" s="302"/>
      <c r="P102" s="302"/>
      <c r="Q102" s="302"/>
      <c r="R102" s="302"/>
      <c r="S102" s="82"/>
      <c r="T102" s="83"/>
      <c r="U102" s="45"/>
      <c r="V102" s="84"/>
      <c r="W102" s="331" t="s">
        <v>221</v>
      </c>
    </row>
    <row r="103" spans="1:23" ht="13">
      <c r="A103" s="302"/>
      <c r="B103" s="1" t="s">
        <v>210</v>
      </c>
      <c r="C103" s="1" t="s">
        <v>193</v>
      </c>
      <c r="D103" s="1" t="s">
        <v>211</v>
      </c>
      <c r="E103" s="1" t="s">
        <v>212</v>
      </c>
      <c r="F103" s="1" t="s">
        <v>213</v>
      </c>
      <c r="G103" s="1" t="s">
        <v>214</v>
      </c>
      <c r="H103" s="1" t="s">
        <v>193</v>
      </c>
      <c r="K103" s="1"/>
      <c r="R103" s="1" t="s">
        <v>200</v>
      </c>
      <c r="S103" s="47" t="s">
        <v>201</v>
      </c>
      <c r="T103" s="71"/>
      <c r="U103" s="47"/>
      <c r="V103" s="72"/>
      <c r="W103" s="302"/>
    </row>
    <row r="104" spans="1:23" ht="13">
      <c r="A104" s="51" t="s">
        <v>220</v>
      </c>
      <c r="B104" s="8">
        <f>Lähtötiedot!F18*'Päästökertoimet ja niiden laatu'!B11*(Lähtötiedot!F7*Lähtötiedot!Q7)/1000</f>
        <v>19.101137614678901</v>
      </c>
      <c r="C104" s="8">
        <f>Lähtötiedot!F18*'Päästökertoimet ja niiden laatu'!B12*'Päästökertoimet ja niiden laatu'!B17*Lähtötiedot!F7/1000*Lähtötiedot!Q7</f>
        <v>5.0766579082568812</v>
      </c>
      <c r="D104" s="8">
        <f ca="1">'Palveluntarjoajien lähtötiedot'!C7*Lähtötiedot!F7*Lähtötiedot!Q7*'Päästökertoimet ja niiden laatu'!B21</f>
        <v>12397.547889908259</v>
      </c>
      <c r="E104" s="8">
        <f ca="1">'Palveluntarjoajien lähtötiedot'!F7*Lähtötiedot!F7*Lähtötiedot!Q7*'Päästökertoimet ja niiden laatu'!B23*'Päästökertoimet ja niiden laatu'!B25*'Päästökertoimet ja niiden laatu'!B26*'Palveluntarjoajien lähtötiedot'!G7</f>
        <v>76033.790298029679</v>
      </c>
      <c r="F104" s="8">
        <f ca="1">'Palveluntarjoajien lähtötiedot'!F7*Lähtötiedot!F7*Lähtötiedot!Q7*'Palveluntarjoajien lähtötiedot'!H7*'Päästökertoimet ja niiden laatu'!B28*'Päästökertoimet ja niiden laatu'!B29</f>
        <v>5.9277229298132061</v>
      </c>
      <c r="G104" s="8">
        <f>Lähtötiedot!F18*'Päästökertoimet ja niiden laatu'!B11*(Lähtötiedot!F7*Lähtötiedot!Q7)/1000</f>
        <v>19.101137614678901</v>
      </c>
      <c r="H104" s="8">
        <f>Lähtötiedot!F18*'Päästökertoimet ja niiden laatu'!B12*'Päästökertoimet ja niiden laatu'!B17*Lähtötiedot!F7/1000*Lähtötiedot!Q7</f>
        <v>5.0766579082568812</v>
      </c>
      <c r="I104" s="13"/>
      <c r="J104" s="13"/>
      <c r="K104" s="13"/>
      <c r="L104" s="13"/>
      <c r="M104" s="13"/>
      <c r="N104" s="13"/>
      <c r="O104" s="13"/>
      <c r="P104" s="13"/>
      <c r="Q104" s="13"/>
      <c r="R104" s="53">
        <f ca="1">SUM(B104:M104)</f>
        <v>88485.621501913629</v>
      </c>
      <c r="S104" s="57">
        <f ca="1">R104/Lähtötiedot!$L$7/1000</f>
        <v>29.495207167304542</v>
      </c>
      <c r="T104" s="85"/>
      <c r="U104" s="57"/>
      <c r="V104" s="86"/>
      <c r="W104" s="57">
        <f ca="1">R104/(Lähtötiedot!Q7*Lähtötiedot!F23)</f>
        <v>0.15138820710681164</v>
      </c>
    </row>
    <row r="105" spans="1:23" ht="13">
      <c r="A105" s="51" t="s">
        <v>205</v>
      </c>
      <c r="B105" s="47">
        <f>B104/Lähtötiedot!$L$7/1000</f>
        <v>6.3670458715596335E-3</v>
      </c>
      <c r="C105" s="47">
        <f>C104/Lähtötiedot!$L$7/1000</f>
        <v>1.6922193027522937E-3</v>
      </c>
      <c r="D105" s="47">
        <f ca="1">D104/Lähtötiedot!$L$7/1000</f>
        <v>4.1325159633027537</v>
      </c>
      <c r="E105" s="47">
        <f ca="1">E104/Lähtötiedot!$L$7/1000</f>
        <v>25.344596766009893</v>
      </c>
      <c r="F105" s="47">
        <f ca="1">F104/Lähtötiedot!$L$7/1000</f>
        <v>1.9759076432710686E-3</v>
      </c>
      <c r="G105" s="47">
        <f>G104/Lähtötiedot!$L$7/1000</f>
        <v>6.3670458715596335E-3</v>
      </c>
      <c r="H105" s="47">
        <f>H104/Lähtötiedot!$L$7/1000</f>
        <v>1.6922193027522937E-3</v>
      </c>
      <c r="I105" s="6"/>
      <c r="J105" s="13"/>
      <c r="K105" s="13"/>
      <c r="L105" s="13"/>
      <c r="M105" s="13"/>
      <c r="N105" s="13"/>
      <c r="O105" s="13"/>
      <c r="P105" s="13"/>
      <c r="Q105" s="13"/>
      <c r="R105" s="57">
        <f ca="1">SUM(B105:Q105)</f>
        <v>29.495207167304542</v>
      </c>
      <c r="S105" s="57"/>
      <c r="T105" s="85"/>
      <c r="U105" s="57"/>
      <c r="V105" s="86"/>
      <c r="W105" s="57"/>
    </row>
    <row r="106" spans="1:23" ht="13">
      <c r="A106" s="58" t="s">
        <v>206</v>
      </c>
      <c r="B106" s="8">
        <f>B104</f>
        <v>19.101137614678901</v>
      </c>
      <c r="C106" s="8">
        <f>C104</f>
        <v>5.0766579082568812</v>
      </c>
      <c r="D106" s="8">
        <f ca="1">'Palveluntarjoajien lähtötiedot'!C7*Lähtötiedot!F7*Lähtötiedot!Q7*'Päästökertoimet ja niiden laatu'!B20</f>
        <v>967.18458715596341</v>
      </c>
      <c r="E106" s="8">
        <f>'Palveluntarjoajien lähtötiedot'!F7*Lähtötiedot!F7*Lähtötiedot!Q7*'Päästökertoimet ja niiden laatu'!B23*'Päästökertoimet ja niiden laatu'!B25*'Päästökertoimet ja niiden laatu'!B26*V11</f>
        <v>0</v>
      </c>
      <c r="F106" s="8">
        <f>'Palveluntarjoajien lähtötiedot'!F7*Lähtötiedot!F7*Lähtötiedot!Q7*V10*'Päästökertoimet ja niiden laatu'!B28*'Päästökertoimet ja niiden laatu'!B29</f>
        <v>889.15843947198198</v>
      </c>
      <c r="G106" s="8">
        <f>G104</f>
        <v>19.101137614678901</v>
      </c>
      <c r="H106" s="8">
        <f>H104</f>
        <v>5.0766579082568812</v>
      </c>
      <c r="I106" s="13"/>
      <c r="J106" s="13"/>
      <c r="K106" s="13"/>
      <c r="L106" s="13"/>
      <c r="M106" s="13"/>
      <c r="N106" s="13"/>
      <c r="O106" s="13"/>
      <c r="P106" s="13"/>
      <c r="Q106" s="13"/>
      <c r="R106" s="60">
        <f ca="1">SUM(B106:Q106)</f>
        <v>1904.6986176738169</v>
      </c>
      <c r="S106" s="88">
        <f ca="1">R106/Lähtötiedot!$L$7/1000</f>
        <v>0.63489953922460562</v>
      </c>
      <c r="T106" s="85"/>
      <c r="U106" s="57"/>
      <c r="V106" s="86"/>
      <c r="W106" s="57"/>
    </row>
    <row r="107" spans="1:23" ht="13">
      <c r="A107" s="51" t="s">
        <v>207</v>
      </c>
      <c r="B107" s="13"/>
      <c r="C107" s="13"/>
      <c r="D107" s="8">
        <f>'Palveluntarjoajien lähtötiedot'!I7*Lähtötiedot!F7*Lähtötiedot!Q7</f>
        <v>1864.6348623853214</v>
      </c>
      <c r="E107" s="13"/>
      <c r="F107" s="13"/>
      <c r="G107" s="13"/>
      <c r="H107" s="13"/>
      <c r="I107" s="13"/>
      <c r="J107" s="13"/>
      <c r="K107" s="13"/>
      <c r="L107" s="13"/>
      <c r="M107" s="13"/>
      <c r="N107" s="13"/>
      <c r="O107" s="13"/>
      <c r="P107" s="13"/>
      <c r="Q107" s="13"/>
      <c r="R107" s="65">
        <f>SUM(B107:Q107)</f>
        <v>1864.6348623853214</v>
      </c>
      <c r="S107" s="65">
        <f>R107/Lähtötiedot!$L$7</f>
        <v>621.54495412844051</v>
      </c>
      <c r="T107" s="62"/>
      <c r="U107" s="57"/>
      <c r="V107" s="63"/>
      <c r="W107" s="98">
        <f>R107/(Lähtötiedot!Q7*Lähtötiedot!F23)</f>
        <v>3.190164954870837E-3</v>
      </c>
    </row>
    <row r="108" spans="1:23" ht="12.5">
      <c r="A108" s="13"/>
      <c r="B108" s="13"/>
      <c r="C108" s="13"/>
      <c r="D108" s="13"/>
      <c r="E108" s="13"/>
      <c r="F108" s="13"/>
      <c r="G108" s="13"/>
      <c r="H108" s="13"/>
      <c r="I108" s="13"/>
      <c r="J108" s="13"/>
      <c r="K108" s="13"/>
      <c r="L108" s="13"/>
      <c r="M108" s="13"/>
      <c r="N108" s="13"/>
      <c r="O108" s="13"/>
      <c r="P108" s="13"/>
      <c r="Q108" s="13"/>
      <c r="R108" s="13"/>
      <c r="S108" s="6"/>
      <c r="T108" s="67"/>
      <c r="U108" s="6"/>
      <c r="V108" s="68"/>
      <c r="W108" s="13"/>
    </row>
    <row r="109" spans="1:23" ht="13">
      <c r="A109" s="331" t="str">
        <f>(Lähtötiedot!B5&amp;", "&amp;Lähtötiedot!C8)</f>
        <v>Toimija 2, Toimija 2 vaate 4</v>
      </c>
      <c r="B109" s="330" t="str">
        <f>Lähtötiedot!C8</f>
        <v>Toimija 2 vaate 4</v>
      </c>
      <c r="C109" s="302"/>
      <c r="D109" s="302"/>
      <c r="E109" s="302"/>
      <c r="F109" s="302"/>
      <c r="G109" s="302"/>
      <c r="H109" s="302"/>
      <c r="I109" s="302"/>
      <c r="J109" s="302"/>
      <c r="K109" s="302"/>
      <c r="L109" s="302"/>
      <c r="M109" s="302"/>
      <c r="N109" s="302"/>
      <c r="O109" s="302"/>
      <c r="P109" s="302"/>
      <c r="Q109" s="302"/>
      <c r="R109" s="302"/>
      <c r="S109" s="82"/>
      <c r="T109" s="83"/>
      <c r="U109" s="45"/>
      <c r="V109" s="84"/>
      <c r="W109" s="331" t="s">
        <v>218</v>
      </c>
    </row>
    <row r="110" spans="1:23" ht="13">
      <c r="A110" s="302"/>
      <c r="B110" s="1" t="s">
        <v>210</v>
      </c>
      <c r="C110" s="1" t="s">
        <v>193</v>
      </c>
      <c r="D110" s="1" t="s">
        <v>211</v>
      </c>
      <c r="E110" s="1" t="s">
        <v>212</v>
      </c>
      <c r="F110" s="1" t="s">
        <v>213</v>
      </c>
      <c r="G110" s="1" t="s">
        <v>214</v>
      </c>
      <c r="H110" s="1" t="s">
        <v>193</v>
      </c>
      <c r="K110" s="1"/>
      <c r="R110" s="1" t="s">
        <v>200</v>
      </c>
      <c r="S110" s="47" t="s">
        <v>201</v>
      </c>
      <c r="T110" s="71"/>
      <c r="U110" s="47"/>
      <c r="V110" s="72"/>
      <c r="W110" s="302"/>
    </row>
    <row r="111" spans="1:23" ht="13">
      <c r="A111" s="51" t="s">
        <v>220</v>
      </c>
      <c r="B111" s="8">
        <f>Lähtötiedot!F18*'Päästökertoimet ja niiden laatu'!B11*(Lähtötiedot!F8*Lähtötiedot!Q8)/1000</f>
        <v>4.7752844036697253</v>
      </c>
      <c r="C111" s="8">
        <f>Lähtötiedot!F18*'Päästökertoimet ja niiden laatu'!B12*'Päästökertoimet ja niiden laatu'!B17*Lähtötiedot!F8/1000*Lähtötiedot!Q8</f>
        <v>1.2691644770642203</v>
      </c>
      <c r="D111" s="8">
        <f ca="1">'Palveluntarjoajien lähtötiedot'!C7*Lähtötiedot!F8*Lähtötiedot!Q8*'Päästökertoimet ja niiden laatu'!B21</f>
        <v>3099.3869724770648</v>
      </c>
      <c r="E111" s="8">
        <f ca="1">'Palveluntarjoajien lähtötiedot'!F7*Lähtötiedot!F8*Lähtötiedot!Q8*'Päästökertoimet ja niiden laatu'!B23*'Päästökertoimet ja niiden laatu'!B25*'Päästökertoimet ja niiden laatu'!B26*'Palveluntarjoajien lähtötiedot'!G7</f>
        <v>19008.44757450742</v>
      </c>
      <c r="F111" s="8">
        <f ca="1">'Palveluntarjoajien lähtötiedot'!F7*Lähtötiedot!F8*Lähtötiedot!Q8*'Palveluntarjoajien lähtötiedot'!H7*'Päästökertoimet ja niiden laatu'!B28*'Päästökertoimet ja niiden laatu'!B29</f>
        <v>1.4819307324533015</v>
      </c>
      <c r="G111" s="8">
        <f>Lähtötiedot!F18*'Päästökertoimet ja niiden laatu'!B11*(Lähtötiedot!F8*Lähtötiedot!Q8)/1000</f>
        <v>4.7752844036697253</v>
      </c>
      <c r="H111" s="8">
        <f>Lähtötiedot!F18*'Päästökertoimet ja niiden laatu'!B12*'Päästökertoimet ja niiden laatu'!B17*Lähtötiedot!F8/1000*Lähtötiedot!Q8</f>
        <v>1.2691644770642203</v>
      </c>
      <c r="I111" s="13"/>
      <c r="J111" s="13"/>
      <c r="K111" s="13"/>
      <c r="L111" s="13"/>
      <c r="M111" s="13"/>
      <c r="N111" s="13"/>
      <c r="O111" s="13"/>
      <c r="P111" s="13"/>
      <c r="Q111" s="13"/>
      <c r="R111" s="53">
        <f ca="1">SUM(B111:M111)</f>
        <v>22121.405375478407</v>
      </c>
      <c r="S111" s="57">
        <f ca="1">R111/Lähtötiedot!$L$8/1000</f>
        <v>7.3738017918261356</v>
      </c>
      <c r="T111" s="85"/>
      <c r="U111" s="57"/>
      <c r="V111" s="86"/>
      <c r="W111" s="57">
        <f ca="1">R111/(Lähtötiedot!Q8*Lähtötiedot!F23)</f>
        <v>0.15138820710681164</v>
      </c>
    </row>
    <row r="112" spans="1:23" ht="13">
      <c r="A112" s="51" t="s">
        <v>205</v>
      </c>
      <c r="B112" s="47">
        <f>B111/Lähtötiedot!$L$8/1000</f>
        <v>1.5917614678899084E-3</v>
      </c>
      <c r="C112" s="47">
        <f>C111/Lähtötiedot!$L$8/1000</f>
        <v>4.2305482568807343E-4</v>
      </c>
      <c r="D112" s="47">
        <f ca="1">D111/Lähtötiedot!$L$8/1000</f>
        <v>1.0331289908256884</v>
      </c>
      <c r="E112" s="47">
        <f ca="1">E111/Lähtötiedot!$L$8/1000</f>
        <v>6.3361491915024732</v>
      </c>
      <c r="F112" s="47">
        <f ca="1">F111/Lähtötiedot!$L$8/1000</f>
        <v>4.9397691081776716E-4</v>
      </c>
      <c r="G112" s="47">
        <f>G111/Lähtötiedot!$L$8/1000</f>
        <v>1.5917614678899084E-3</v>
      </c>
      <c r="H112" s="47">
        <f>H111/Lähtötiedot!$L$8/1000</f>
        <v>4.2305482568807343E-4</v>
      </c>
      <c r="I112" s="13"/>
      <c r="J112" s="13"/>
      <c r="K112" s="13"/>
      <c r="L112" s="13"/>
      <c r="M112" s="13"/>
      <c r="N112" s="13"/>
      <c r="O112" s="13"/>
      <c r="P112" s="13"/>
      <c r="Q112" s="13"/>
      <c r="R112" s="57">
        <f ca="1">SUM(B112:Q112)</f>
        <v>7.3738017918261356</v>
      </c>
      <c r="S112" s="57"/>
      <c r="T112" s="85"/>
      <c r="U112" s="57"/>
      <c r="V112" s="86"/>
      <c r="W112" s="57"/>
    </row>
    <row r="113" spans="1:39" ht="13">
      <c r="A113" s="58" t="s">
        <v>206</v>
      </c>
      <c r="B113" s="8">
        <f>B111</f>
        <v>4.7752844036697253</v>
      </c>
      <c r="C113" s="8">
        <f>C111</f>
        <v>1.2691644770642203</v>
      </c>
      <c r="D113" s="8">
        <f ca="1">'Palveluntarjoajien lähtötiedot'!C7*Lähtötiedot!F8*Lähtötiedot!Q8*'Päästökertoimet ja niiden laatu'!B20</f>
        <v>241.79614678899085</v>
      </c>
      <c r="E113" s="8">
        <f>'Palveluntarjoajien lähtötiedot'!F7*Lähtötiedot!F8*Lähtötiedot!Q8*'Päästökertoimet ja niiden laatu'!B23*'Päästökertoimet ja niiden laatu'!B25*'Päästökertoimet ja niiden laatu'!B26*V11</f>
        <v>0</v>
      </c>
      <c r="F113" s="8">
        <f>'Palveluntarjoajien lähtötiedot'!F7*Lähtötiedot!F8*Lähtötiedot!Q8*V10*'Päästökertoimet ja niiden laatu'!B28*'Päästökertoimet ja niiden laatu'!B29</f>
        <v>222.28960986799549</v>
      </c>
      <c r="G113" s="8">
        <f>G111</f>
        <v>4.7752844036697253</v>
      </c>
      <c r="H113" s="8">
        <f>H111</f>
        <v>1.2691644770642203</v>
      </c>
      <c r="I113" s="13"/>
      <c r="J113" s="13"/>
      <c r="K113" s="13"/>
      <c r="L113" s="13"/>
      <c r="M113" s="13"/>
      <c r="N113" s="13"/>
      <c r="O113" s="13"/>
      <c r="P113" s="13"/>
      <c r="Q113" s="13"/>
      <c r="R113" s="60">
        <f ca="1">SUM(B113:Q113)</f>
        <v>476.17465441845422</v>
      </c>
      <c r="S113" s="88">
        <f ca="1">R113/Lähtötiedot!$L$8/1000</f>
        <v>0.15872488480615141</v>
      </c>
      <c r="T113" s="85"/>
      <c r="U113" s="57"/>
      <c r="V113" s="86"/>
      <c r="W113" s="57"/>
    </row>
    <row r="114" spans="1:39" ht="13">
      <c r="A114" s="51" t="s">
        <v>207</v>
      </c>
      <c r="D114" s="8">
        <f>'Palveluntarjoajien lähtötiedot'!I7*Lähtötiedot!F8*Lähtötiedot!Q8</f>
        <v>466.15871559633035</v>
      </c>
      <c r="R114" s="65">
        <f>SUM(B114:Q114)</f>
        <v>466.15871559633035</v>
      </c>
      <c r="S114" s="65">
        <f>R114/Lähtötiedot!$L$8</f>
        <v>155.38623853211013</v>
      </c>
      <c r="T114" s="62"/>
      <c r="U114" s="57"/>
      <c r="V114" s="63"/>
      <c r="W114" s="97">
        <f>R114/(Lähtötiedot!Q8*Lähtötiedot!F23)</f>
        <v>3.190164954870837E-3</v>
      </c>
    </row>
    <row r="115" spans="1:39" ht="12.5">
      <c r="S115" s="92"/>
      <c r="T115" s="93"/>
      <c r="U115" s="92"/>
      <c r="V115" s="94"/>
    </row>
    <row r="116" spans="1:39" ht="13">
      <c r="A116" s="331" t="str">
        <f>(Lähtötiedot!B5&amp;", "&amp;Lähtötiedot!C9)</f>
        <v>Toimija 2, Toimija 2 vaate 5</v>
      </c>
      <c r="B116" s="330" t="str">
        <f>Lähtötiedot!C9</f>
        <v>Toimija 2 vaate 5</v>
      </c>
      <c r="C116" s="302"/>
      <c r="D116" s="302"/>
      <c r="E116" s="302"/>
      <c r="F116" s="302"/>
      <c r="G116" s="302"/>
      <c r="H116" s="302"/>
      <c r="I116" s="302"/>
      <c r="J116" s="302"/>
      <c r="K116" s="302"/>
      <c r="L116" s="302"/>
      <c r="M116" s="302"/>
      <c r="N116" s="302"/>
      <c r="O116" s="302"/>
      <c r="P116" s="302"/>
      <c r="Q116" s="302"/>
      <c r="R116" s="302"/>
      <c r="S116" s="82"/>
      <c r="T116" s="83"/>
      <c r="U116" s="45"/>
      <c r="V116" s="84"/>
      <c r="W116" s="331" t="s">
        <v>219</v>
      </c>
    </row>
    <row r="117" spans="1:39" ht="13">
      <c r="A117" s="302"/>
      <c r="B117" s="1" t="s">
        <v>210</v>
      </c>
      <c r="C117" s="1" t="s">
        <v>193</v>
      </c>
      <c r="D117" s="1" t="s">
        <v>211</v>
      </c>
      <c r="E117" s="1" t="s">
        <v>212</v>
      </c>
      <c r="F117" s="1" t="s">
        <v>213</v>
      </c>
      <c r="G117" s="1" t="s">
        <v>214</v>
      </c>
      <c r="H117" s="1" t="s">
        <v>193</v>
      </c>
      <c r="K117" s="1"/>
      <c r="R117" s="1" t="s">
        <v>200</v>
      </c>
      <c r="S117" s="47" t="s">
        <v>201</v>
      </c>
      <c r="T117" s="71"/>
      <c r="U117" s="47"/>
      <c r="V117" s="72"/>
      <c r="W117" s="302"/>
    </row>
    <row r="118" spans="1:39" ht="13">
      <c r="A118" s="51" t="s">
        <v>220</v>
      </c>
      <c r="B118" s="8">
        <f>Lähtötiedot!F18*'Päästökertoimet ja niiden laatu'!B11*(Lähtötiedot!F9*Lähtötiedot!Q9)/1000</f>
        <v>4.7752844036697253</v>
      </c>
      <c r="C118" s="8">
        <f>Lähtötiedot!F18*'Päästökertoimet ja niiden laatu'!B12*'Päästökertoimet ja niiden laatu'!B17*Lähtötiedot!F9/1000*Lähtötiedot!Q9</f>
        <v>1.2691644770642203</v>
      </c>
      <c r="D118" s="8">
        <f ca="1">'Palveluntarjoajien lähtötiedot'!C7*Lähtötiedot!F9*Lähtötiedot!Q9*'Päästökertoimet ja niiden laatu'!B21</f>
        <v>3099.3869724770648</v>
      </c>
      <c r="E118" s="8">
        <f ca="1">'Palveluntarjoajien lähtötiedot'!F7*Lähtötiedot!F9*Lähtötiedot!Q9*'Päästökertoimet ja niiden laatu'!B23*'Päästökertoimet ja niiden laatu'!B25*'Päästökertoimet ja niiden laatu'!B26*'Palveluntarjoajien lähtötiedot'!G7</f>
        <v>19008.44757450742</v>
      </c>
      <c r="F118" s="8">
        <f ca="1">'Palveluntarjoajien lähtötiedot'!F7*Lähtötiedot!F9*Lähtötiedot!Q9*'Palveluntarjoajien lähtötiedot'!H7*'Päästökertoimet ja niiden laatu'!B28*'Päästökertoimet ja niiden laatu'!B29</f>
        <v>1.4819307324533015</v>
      </c>
      <c r="G118" s="8">
        <f>Lähtötiedot!F18*'Päästökertoimet ja niiden laatu'!B11*(Lähtötiedot!F9*Lähtötiedot!Q9)/1000</f>
        <v>4.7752844036697253</v>
      </c>
      <c r="H118" s="8">
        <f>Lähtötiedot!F18*'Päästökertoimet ja niiden laatu'!B12*'Päästökertoimet ja niiden laatu'!B17*Lähtötiedot!F9/1000*Lähtötiedot!Q9</f>
        <v>1.2691644770642203</v>
      </c>
      <c r="I118" s="13"/>
      <c r="J118" s="13"/>
      <c r="K118" s="13"/>
      <c r="L118" s="13"/>
      <c r="M118" s="13"/>
      <c r="N118" s="13"/>
      <c r="O118" s="13"/>
      <c r="P118" s="13"/>
      <c r="Q118" s="13"/>
      <c r="R118" s="53">
        <f ca="1">SUM(B118:M118)</f>
        <v>22121.405375478407</v>
      </c>
      <c r="S118" s="57">
        <f ca="1">R118/Lähtötiedot!$L$9/1000</f>
        <v>7.3738017918261356</v>
      </c>
      <c r="T118" s="85"/>
      <c r="U118" s="57"/>
      <c r="V118" s="86"/>
      <c r="W118" s="57">
        <f ca="1">R118/(Lähtötiedot!Q9*Lähtötiedot!F23)</f>
        <v>0.15138820710681164</v>
      </c>
    </row>
    <row r="119" spans="1:39" ht="13">
      <c r="A119" s="51" t="s">
        <v>205</v>
      </c>
      <c r="B119" s="52">
        <f>B118/Lähtötiedot!$L$9/1000</f>
        <v>1.5917614678899084E-3</v>
      </c>
      <c r="C119" s="52">
        <f>C118/Lähtötiedot!$L$9/1000</f>
        <v>4.2305482568807343E-4</v>
      </c>
      <c r="D119" s="52">
        <f ca="1">D118/Lähtötiedot!$L$9/1000</f>
        <v>1.0331289908256884</v>
      </c>
      <c r="E119" s="52">
        <f ca="1">E118/Lähtötiedot!$L$9/1000</f>
        <v>6.3361491915024732</v>
      </c>
      <c r="F119" s="52">
        <f ca="1">F118/Lähtötiedot!$L$9/1000</f>
        <v>4.9397691081776716E-4</v>
      </c>
      <c r="G119" s="52">
        <f>G118/Lähtötiedot!$L$9/1000</f>
        <v>1.5917614678899084E-3</v>
      </c>
      <c r="H119" s="52">
        <f>H118/Lähtötiedot!$L$9/1000</f>
        <v>4.2305482568807343E-4</v>
      </c>
      <c r="I119" s="13"/>
      <c r="J119" s="13"/>
      <c r="K119" s="13"/>
      <c r="L119" s="13"/>
      <c r="M119" s="13"/>
      <c r="N119" s="13"/>
      <c r="O119" s="13"/>
      <c r="P119" s="13"/>
      <c r="Q119" s="13"/>
      <c r="R119" s="53">
        <f ca="1">SUM(B119:Q119)</f>
        <v>7.3738017918261356</v>
      </c>
      <c r="S119" s="57"/>
      <c r="T119" s="85"/>
      <c r="U119" s="57"/>
      <c r="V119" s="86"/>
      <c r="W119" s="57"/>
    </row>
    <row r="120" spans="1:39" ht="13">
      <c r="A120" s="58" t="s">
        <v>206</v>
      </c>
      <c r="B120" s="8">
        <f>B118</f>
        <v>4.7752844036697253</v>
      </c>
      <c r="C120" s="8">
        <f>C118</f>
        <v>1.2691644770642203</v>
      </c>
      <c r="D120" s="8">
        <f ca="1">'Palveluntarjoajien lähtötiedot'!C7*Lähtötiedot!F9*Lähtötiedot!Q9*'Päästökertoimet ja niiden laatu'!B20</f>
        <v>241.79614678899085</v>
      </c>
      <c r="E120" s="8">
        <f>'Palveluntarjoajien lähtötiedot'!F7*Lähtötiedot!F9*Lähtötiedot!Q9*'Päästökertoimet ja niiden laatu'!B23*'Päästökertoimet ja niiden laatu'!B25*'Päästökertoimet ja niiden laatu'!B26*V11</f>
        <v>0</v>
      </c>
      <c r="F120" s="8">
        <f>'Palveluntarjoajien lähtötiedot'!F7*Lähtötiedot!F9*Lähtötiedot!Q9*V10*'Päästökertoimet ja niiden laatu'!B28*'Päästökertoimet ja niiden laatu'!B29</f>
        <v>222.28960986799549</v>
      </c>
      <c r="G120" s="8">
        <f>G118</f>
        <v>4.7752844036697253</v>
      </c>
      <c r="H120" s="8">
        <f>H118</f>
        <v>1.2691644770642203</v>
      </c>
      <c r="I120" s="13"/>
      <c r="J120" s="13"/>
      <c r="K120" s="13"/>
      <c r="L120" s="13"/>
      <c r="M120" s="13"/>
      <c r="N120" s="13"/>
      <c r="O120" s="13"/>
      <c r="P120" s="13"/>
      <c r="Q120" s="13"/>
      <c r="R120" s="60">
        <f ca="1">SUM(B120:Q120)</f>
        <v>476.17465441845422</v>
      </c>
      <c r="S120" s="88">
        <f ca="1">R120/Lähtötiedot!$L$9/1000</f>
        <v>0.15872488480615141</v>
      </c>
      <c r="T120" s="85"/>
      <c r="U120" s="57"/>
      <c r="V120" s="86"/>
      <c r="W120" s="57"/>
    </row>
    <row r="121" spans="1:39" ht="13">
      <c r="A121" s="51" t="s">
        <v>207</v>
      </c>
      <c r="D121" s="8">
        <f>'Palveluntarjoajien lähtötiedot'!I7*Lähtötiedot!F9*Lähtötiedot!Q9</f>
        <v>466.15871559633035</v>
      </c>
      <c r="R121" s="65">
        <f>SUM(B121:M121)</f>
        <v>466.15871559633035</v>
      </c>
      <c r="S121" s="65">
        <f>R121/Lähtötiedot!$L$9</f>
        <v>155.38623853211013</v>
      </c>
      <c r="T121" s="62"/>
      <c r="U121" s="57"/>
      <c r="V121" s="63"/>
      <c r="W121" s="98">
        <f>R121/(Lähtötiedot!Q9*Lähtötiedot!F23)</f>
        <v>3.190164954870837E-3</v>
      </c>
    </row>
    <row r="122" spans="1:39" ht="13">
      <c r="R122" s="59"/>
      <c r="S122" s="57"/>
      <c r="T122" s="85"/>
      <c r="U122" s="57"/>
      <c r="V122" s="86"/>
      <c r="W122" s="59"/>
    </row>
    <row r="123" spans="1:39" ht="13">
      <c r="A123" s="332" t="str">
        <f>(Lähtötiedot!B10&amp;", "&amp;Lähtötiedot!C10)</f>
        <v>Toimija 3, Toimija 3 vaate 1</v>
      </c>
      <c r="B123" s="329" t="str">
        <f>Lähtötiedot!C10</f>
        <v>Toimija 3 vaate 1</v>
      </c>
      <c r="C123" s="302"/>
      <c r="D123" s="302"/>
      <c r="E123" s="302"/>
      <c r="F123" s="302"/>
      <c r="G123" s="302"/>
      <c r="H123" s="302"/>
      <c r="I123" s="302"/>
      <c r="J123" s="302"/>
      <c r="K123" s="302"/>
      <c r="L123" s="302"/>
      <c r="M123" s="302"/>
      <c r="N123" s="302"/>
      <c r="O123" s="302"/>
      <c r="P123" s="302"/>
      <c r="Q123" s="302"/>
      <c r="R123" s="302"/>
      <c r="S123" s="69"/>
      <c r="T123" s="42"/>
      <c r="U123" s="45"/>
      <c r="V123" s="70"/>
      <c r="W123" s="332" t="s">
        <v>222</v>
      </c>
    </row>
    <row r="124" spans="1:39" ht="13">
      <c r="A124" s="302"/>
      <c r="B124" s="1" t="s">
        <v>198</v>
      </c>
      <c r="C124" s="1" t="s">
        <v>199</v>
      </c>
      <c r="D124" s="1"/>
      <c r="E124" s="1"/>
      <c r="F124" s="1"/>
      <c r="G124" s="1"/>
      <c r="H124" s="1"/>
      <c r="K124" s="1"/>
      <c r="L124" s="1"/>
      <c r="M124" s="1"/>
      <c r="N124" s="1"/>
      <c r="O124" s="1"/>
      <c r="P124" s="1"/>
      <c r="Q124" s="1"/>
      <c r="R124" s="1" t="s">
        <v>200</v>
      </c>
      <c r="S124" s="47" t="s">
        <v>201</v>
      </c>
      <c r="T124" s="71"/>
      <c r="U124" s="47"/>
      <c r="V124" s="72"/>
      <c r="W124" s="302"/>
    </row>
    <row r="125" spans="1:39" ht="13">
      <c r="A125" s="51" t="s">
        <v>223</v>
      </c>
      <c r="B125" s="19">
        <f>Lähtötiedot!S10*Lähtötiedot!Q10*Lähtötiedot!F10*'Kotikonemallien lähtötiedot'!H6*'Päästökertoimet ja niiden laatu'!B21</f>
        <v>1090.7338873168117</v>
      </c>
      <c r="C125" s="19">
        <f>Lähtötiedot!F10*Lähtötiedot!Q10*Lähtötiedot!S10*'Kotikonemallien lähtötiedot'!R6*'Päästökertoimet ja niiden laatu'!B21</f>
        <v>7095.3399082568803</v>
      </c>
      <c r="D125" s="8"/>
      <c r="E125" s="8"/>
      <c r="F125" s="19"/>
      <c r="G125" s="52"/>
      <c r="H125" s="52"/>
      <c r="K125" s="52"/>
      <c r="L125" s="53"/>
      <c r="M125" s="53"/>
      <c r="N125" s="53"/>
      <c r="O125" s="53"/>
      <c r="P125" s="53"/>
      <c r="Q125" s="53"/>
      <c r="R125" s="52">
        <f>SUM(B125:Q125)</f>
        <v>8186.0737955736922</v>
      </c>
      <c r="S125" s="47">
        <f>R125/Lähtötiedot!$L$10/1000</f>
        <v>3.2744295182294767</v>
      </c>
      <c r="T125" s="55">
        <f>B125*$T$11+C125</f>
        <v>9276.8076828905032</v>
      </c>
      <c r="V125" s="56"/>
      <c r="W125" s="95">
        <f>R125/(Lähtötiedot!Q10*Lähtötiedot!F23)</f>
        <v>6.7225839269490051E-2</v>
      </c>
      <c r="X125" s="89"/>
      <c r="Y125" s="89"/>
      <c r="Z125" s="89"/>
      <c r="AA125" s="89"/>
      <c r="AB125" s="89"/>
      <c r="AC125" s="89"/>
      <c r="AD125" s="89"/>
      <c r="AE125" s="89"/>
      <c r="AF125" s="89"/>
      <c r="AG125" s="89"/>
      <c r="AH125" s="89"/>
      <c r="AI125" s="89"/>
      <c r="AJ125" s="89"/>
      <c r="AK125" s="89"/>
      <c r="AL125" s="89"/>
      <c r="AM125" s="89"/>
    </row>
    <row r="126" spans="1:39" ht="13">
      <c r="A126" s="51" t="s">
        <v>205</v>
      </c>
      <c r="B126" s="47">
        <f>B125/Lähtötiedot!$L$10/1000</f>
        <v>0.43629355492672467</v>
      </c>
      <c r="C126" s="47">
        <f>C125/Lähtötiedot!$L$10/1000</f>
        <v>2.8381359633027525</v>
      </c>
      <c r="D126" s="8"/>
      <c r="E126" s="8"/>
      <c r="F126" s="19"/>
      <c r="G126" s="52"/>
      <c r="H126" s="52"/>
      <c r="K126" s="52"/>
      <c r="L126" s="53"/>
      <c r="M126" s="53"/>
      <c r="N126" s="53"/>
      <c r="O126" s="53"/>
      <c r="P126" s="53"/>
      <c r="Q126" s="53"/>
      <c r="R126" s="57">
        <f>SUM(B126:Q126)</f>
        <v>3.2744295182294771</v>
      </c>
      <c r="S126" s="47"/>
      <c r="T126" s="55"/>
      <c r="U126" s="47">
        <f>T125/Lähtötiedot!$L$10/1000</f>
        <v>3.7107230731562013</v>
      </c>
      <c r="V126" s="56"/>
      <c r="W126" s="95"/>
      <c r="X126" s="89"/>
      <c r="Y126" s="89"/>
      <c r="Z126" s="89"/>
      <c r="AA126" s="89"/>
      <c r="AB126" s="89"/>
      <c r="AC126" s="89"/>
      <c r="AD126" s="89"/>
      <c r="AE126" s="89"/>
      <c r="AF126" s="89"/>
      <c r="AG126" s="89"/>
      <c r="AH126" s="89"/>
      <c r="AI126" s="89"/>
      <c r="AJ126" s="89"/>
      <c r="AK126" s="89"/>
      <c r="AL126" s="89"/>
      <c r="AM126" s="89"/>
    </row>
    <row r="127" spans="1:39" ht="13">
      <c r="A127" s="58" t="s">
        <v>206</v>
      </c>
      <c r="B127" s="19">
        <f>Lähtötiedot!S10*Lähtötiedot!Q10*Lähtötiedot!F10*'Kotikonemallien lähtötiedot'!H6*'Päästökertoimet ja niiden laatu'!B20</f>
        <v>85.092714613368287</v>
      </c>
      <c r="C127" s="19">
        <f>Lähtötiedot!F10*Lähtötiedot!Q10*Lähtötiedot!S10*'Kotikonemallien lähtötiedot'!R6*'Päästökertoimet ja niiden laatu'!B20</f>
        <v>553.53715596330267</v>
      </c>
      <c r="D127" s="8"/>
      <c r="E127" s="8"/>
      <c r="F127" s="19"/>
      <c r="G127" s="8"/>
      <c r="H127" s="19"/>
      <c r="K127" s="19"/>
      <c r="M127" s="8"/>
      <c r="R127" s="60">
        <f>SUM(B127:Q127)</f>
        <v>638.62987057667101</v>
      </c>
      <c r="S127" s="61">
        <f>R127/Lähtötiedot!$L$10/1000</f>
        <v>0.25545194823066841</v>
      </c>
      <c r="T127" s="55"/>
      <c r="U127" s="47"/>
      <c r="V127" s="56"/>
      <c r="W127" s="90"/>
    </row>
    <row r="128" spans="1:39" ht="13">
      <c r="A128" s="51" t="s">
        <v>207</v>
      </c>
      <c r="B128" s="19">
        <f>Lähtötiedot!F10*Lähtötiedot!Q10*'Kotikonemallien lähtötiedot'!I6*Lähtötiedot!S10</f>
        <v>468.52440039318481</v>
      </c>
      <c r="C128" s="19"/>
      <c r="D128" s="8"/>
      <c r="E128" s="8"/>
      <c r="F128" s="19"/>
      <c r="G128" s="8"/>
      <c r="H128" s="19"/>
      <c r="K128" s="19"/>
      <c r="M128" s="8"/>
      <c r="R128" s="87">
        <f>SUM(B128:Q128)</f>
        <v>468.52440039318481</v>
      </c>
      <c r="S128" s="87">
        <f>R128/Lähtötiedot!$L$10</f>
        <v>187.40976015727392</v>
      </c>
      <c r="T128" s="55"/>
      <c r="U128" s="47"/>
      <c r="V128" s="56"/>
      <c r="W128" s="90">
        <f>R128/(Lähtötiedot!Q10*Lähtötiedot!F23)</f>
        <v>3.8476254699410625E-3</v>
      </c>
    </row>
    <row r="129" spans="1:39" ht="12.5">
      <c r="S129" s="92"/>
      <c r="T129" s="93"/>
      <c r="U129" s="92"/>
      <c r="V129" s="94"/>
    </row>
    <row r="130" spans="1:39" ht="13">
      <c r="A130" s="332" t="str">
        <f>(Lähtötiedot!B10&amp;", "&amp;Lähtötiedot!C11)</f>
        <v>Toimija 3, Toimija 3 vaate 2</v>
      </c>
      <c r="B130" s="329" t="str">
        <f>Lähtötiedot!C11</f>
        <v>Toimija 3 vaate 2</v>
      </c>
      <c r="C130" s="302"/>
      <c r="D130" s="302"/>
      <c r="E130" s="302"/>
      <c r="F130" s="302"/>
      <c r="G130" s="302"/>
      <c r="H130" s="302"/>
      <c r="I130" s="302"/>
      <c r="J130" s="302"/>
      <c r="K130" s="302"/>
      <c r="L130" s="302"/>
      <c r="M130" s="302"/>
      <c r="N130" s="302"/>
      <c r="O130" s="302"/>
      <c r="P130" s="302"/>
      <c r="Q130" s="302"/>
      <c r="R130" s="302"/>
      <c r="S130" s="69"/>
      <c r="T130" s="42"/>
      <c r="U130" s="45"/>
      <c r="V130" s="70"/>
      <c r="W130" s="332" t="s">
        <v>224</v>
      </c>
    </row>
    <row r="131" spans="1:39" ht="13">
      <c r="A131" s="302"/>
      <c r="B131" s="1" t="s">
        <v>198</v>
      </c>
      <c r="C131" s="1" t="s">
        <v>199</v>
      </c>
      <c r="D131" s="1"/>
      <c r="E131" s="1"/>
      <c r="F131" s="1"/>
      <c r="G131" s="1"/>
      <c r="H131" s="1"/>
      <c r="K131" s="1"/>
      <c r="L131" s="1"/>
      <c r="M131" s="1"/>
      <c r="N131" s="1"/>
      <c r="O131" s="1"/>
      <c r="P131" s="1"/>
      <c r="Q131" s="1"/>
      <c r="R131" s="1" t="s">
        <v>200</v>
      </c>
      <c r="S131" s="47" t="s">
        <v>201</v>
      </c>
      <c r="T131" s="71"/>
      <c r="U131" s="47"/>
      <c r="V131" s="72"/>
      <c r="W131" s="302"/>
    </row>
    <row r="132" spans="1:39" ht="13">
      <c r="A132" s="51" t="s">
        <v>223</v>
      </c>
      <c r="B132" s="19">
        <f>Lähtötiedot!S11*Lähtötiedot!Q11*Lähtötiedot!F11*'Kotikonemallien lähtötiedot'!H6*'Päästökertoimet ja niiden laatu'!B21</f>
        <v>1090.7338873168117</v>
      </c>
      <c r="C132" s="19">
        <f>Lähtötiedot!F11*Lähtötiedot!Q11*Lähtötiedot!S11*'Kotikonemallien lähtötiedot'!R6*'Päästökertoimet ja niiden laatu'!B21</f>
        <v>7095.3399082568803</v>
      </c>
      <c r="D132" s="53"/>
      <c r="E132" s="53"/>
      <c r="F132" s="52"/>
      <c r="G132" s="52"/>
      <c r="H132" s="52"/>
      <c r="I132" s="14"/>
      <c r="J132" s="14"/>
      <c r="K132" s="52"/>
      <c r="L132" s="53"/>
      <c r="M132" s="53"/>
      <c r="N132" s="53"/>
      <c r="O132" s="53"/>
      <c r="P132" s="53"/>
      <c r="Q132" s="53"/>
      <c r="R132" s="52">
        <f>SUM(B132:Q132)</f>
        <v>8186.0737955736922</v>
      </c>
      <c r="S132" s="47">
        <f>R132/Lähtötiedot!$L$11/1000</f>
        <v>3.2744295182294767</v>
      </c>
      <c r="T132" s="55">
        <f>B132*$T$11+C132</f>
        <v>9276.8076828905032</v>
      </c>
      <c r="V132" s="56"/>
      <c r="W132" s="95">
        <f>R132/(Lähtötiedot!Q11*Lähtötiedot!F23)</f>
        <v>6.7225839269490051E-2</v>
      </c>
      <c r="X132" s="89"/>
      <c r="Y132" s="89"/>
      <c r="Z132" s="89"/>
      <c r="AA132" s="89"/>
      <c r="AB132" s="89"/>
      <c r="AC132" s="89"/>
      <c r="AD132" s="89"/>
      <c r="AE132" s="89"/>
      <c r="AF132" s="89"/>
      <c r="AG132" s="89"/>
      <c r="AH132" s="89"/>
      <c r="AI132" s="89"/>
      <c r="AJ132" s="89"/>
      <c r="AK132" s="89"/>
      <c r="AL132" s="89"/>
      <c r="AM132" s="89"/>
    </row>
    <row r="133" spans="1:39" ht="13">
      <c r="A133" s="51" t="s">
        <v>205</v>
      </c>
      <c r="B133" s="47">
        <f>B132/Lähtötiedot!$L$11/1000</f>
        <v>0.43629355492672467</v>
      </c>
      <c r="C133" s="47">
        <f>C132/Lähtötiedot!$L$11/1000</f>
        <v>2.8381359633027525</v>
      </c>
      <c r="D133" s="53"/>
      <c r="E133" s="53"/>
      <c r="F133" s="52"/>
      <c r="G133" s="53"/>
      <c r="H133" s="52"/>
      <c r="I133" s="14"/>
      <c r="J133" s="14"/>
      <c r="K133" s="52"/>
      <c r="M133" s="8"/>
      <c r="R133" s="57">
        <f>SUM(B133:Q133)</f>
        <v>3.2744295182294771</v>
      </c>
      <c r="S133" s="47"/>
      <c r="T133" s="55"/>
      <c r="U133" s="47">
        <f>T132/Lähtötiedot!$L$11/1000</f>
        <v>3.7107230731562013</v>
      </c>
      <c r="V133" s="56"/>
      <c r="W133" s="90"/>
    </row>
    <row r="134" spans="1:39" ht="13">
      <c r="A134" s="58" t="s">
        <v>206</v>
      </c>
      <c r="B134" s="19">
        <f>Lähtötiedot!S11*Lähtötiedot!Q11*Lähtötiedot!F11*'Kotikonemallien lähtötiedot'!H6*'Päästökertoimet ja niiden laatu'!B20</f>
        <v>85.092714613368287</v>
      </c>
      <c r="C134" s="19">
        <f>Lähtötiedot!F11*Lähtötiedot!Q11*Lähtötiedot!S11*'Kotikonemallien lähtötiedot'!R6*'Päästökertoimet ja niiden laatu'!B20</f>
        <v>553.53715596330267</v>
      </c>
      <c r="D134" s="53"/>
      <c r="E134" s="53"/>
      <c r="F134" s="52"/>
      <c r="G134" s="53"/>
      <c r="H134" s="52"/>
      <c r="I134" s="14"/>
      <c r="J134" s="14"/>
      <c r="K134" s="52"/>
      <c r="M134" s="8"/>
      <c r="R134" s="60">
        <f>SUM(B134:Q134)</f>
        <v>638.62987057667101</v>
      </c>
      <c r="S134" s="61">
        <f>R134/Lähtötiedot!$L$11/1000</f>
        <v>0.25545194823066841</v>
      </c>
      <c r="T134" s="55"/>
      <c r="U134" s="47"/>
      <c r="V134" s="56"/>
      <c r="W134" s="90"/>
    </row>
    <row r="135" spans="1:39" ht="13">
      <c r="A135" s="51" t="s">
        <v>207</v>
      </c>
      <c r="B135" s="19">
        <f>Lähtötiedot!F11*Lähtötiedot!Q11*'Kotikonemallien lähtötiedot'!I6*Lähtötiedot!S11</f>
        <v>468.52440039318481</v>
      </c>
      <c r="C135" s="52"/>
      <c r="D135" s="53"/>
      <c r="E135" s="53"/>
      <c r="F135" s="52"/>
      <c r="G135" s="53"/>
      <c r="H135" s="52"/>
      <c r="I135" s="14"/>
      <c r="J135" s="14"/>
      <c r="K135" s="52"/>
      <c r="M135" s="8"/>
      <c r="R135" s="87">
        <f>SUM(B135:Q135)</f>
        <v>468.52440039318481</v>
      </c>
      <c r="S135" s="87">
        <f>R135/Lähtötiedot!$L$11</f>
        <v>187.40976015727392</v>
      </c>
      <c r="T135" s="55"/>
      <c r="U135" s="47"/>
      <c r="V135" s="56"/>
      <c r="W135" s="90">
        <f>R135/(Lähtötiedot!Q11*Lähtötiedot!F23)</f>
        <v>3.8476254699410625E-3</v>
      </c>
    </row>
    <row r="136" spans="1:39" ht="12.5">
      <c r="S136" s="92"/>
      <c r="T136" s="93"/>
      <c r="U136" s="92"/>
      <c r="V136" s="94"/>
    </row>
    <row r="137" spans="1:39" ht="13">
      <c r="A137" s="332" t="str">
        <f>(Lähtötiedot!B10&amp;", "&amp;Lähtötiedot!C12)</f>
        <v>Toimija 3, Toimija 3 vaate 3</v>
      </c>
      <c r="B137" s="329" t="str">
        <f>Lähtötiedot!C12</f>
        <v>Toimija 3 vaate 3</v>
      </c>
      <c r="C137" s="302"/>
      <c r="D137" s="302"/>
      <c r="E137" s="302"/>
      <c r="F137" s="302"/>
      <c r="G137" s="302"/>
      <c r="H137" s="302"/>
      <c r="I137" s="302"/>
      <c r="J137" s="302"/>
      <c r="K137" s="302"/>
      <c r="L137" s="302"/>
      <c r="M137" s="302"/>
      <c r="N137" s="302"/>
      <c r="O137" s="302"/>
      <c r="P137" s="302"/>
      <c r="Q137" s="302"/>
      <c r="R137" s="302"/>
      <c r="S137" s="69"/>
      <c r="T137" s="42"/>
      <c r="U137" s="45"/>
      <c r="V137" s="70"/>
      <c r="W137" s="332" t="s">
        <v>225</v>
      </c>
    </row>
    <row r="138" spans="1:39" ht="13">
      <c r="A138" s="302"/>
      <c r="B138" s="1" t="s">
        <v>198</v>
      </c>
      <c r="C138" s="1" t="s">
        <v>199</v>
      </c>
      <c r="D138" s="1"/>
      <c r="E138" s="1"/>
      <c r="F138" s="1"/>
      <c r="G138" s="1"/>
      <c r="H138" s="1"/>
      <c r="K138" s="1"/>
      <c r="L138" s="1"/>
      <c r="M138" s="1"/>
      <c r="N138" s="1"/>
      <c r="O138" s="1"/>
      <c r="P138" s="1"/>
      <c r="Q138" s="1"/>
      <c r="R138" s="1" t="s">
        <v>200</v>
      </c>
      <c r="S138" s="47" t="s">
        <v>201</v>
      </c>
      <c r="T138" s="71"/>
      <c r="U138" s="47"/>
      <c r="V138" s="72"/>
      <c r="W138" s="302"/>
    </row>
    <row r="139" spans="1:39" ht="13">
      <c r="A139" s="51" t="s">
        <v>223</v>
      </c>
      <c r="B139" s="19">
        <f>Lähtötiedot!S12*Lähtötiedot!Q12*Lähtötiedot!F12*'Kotikonemallien lähtötiedot'!H6*'Päästökertoimet ja niiden laatu'!B21</f>
        <v>1090.7338873168117</v>
      </c>
      <c r="C139" s="19">
        <f>Lähtötiedot!F12*Lähtötiedot!Q12*Lähtötiedot!S12*'Kotikonemallien lähtötiedot'!R6*'Päästökertoimet ja niiden laatu'!B21</f>
        <v>7095.3399082568803</v>
      </c>
      <c r="D139" s="53"/>
      <c r="E139" s="53"/>
      <c r="F139" s="52"/>
      <c r="G139" s="52"/>
      <c r="H139" s="52"/>
      <c r="K139" s="52"/>
      <c r="L139" s="53"/>
      <c r="M139" s="53"/>
      <c r="N139" s="53"/>
      <c r="O139" s="53"/>
      <c r="P139" s="53"/>
      <c r="Q139" s="53"/>
      <c r="R139" s="52">
        <f>SUM(B139:Q139)</f>
        <v>8186.0737955736922</v>
      </c>
      <c r="S139" s="47">
        <f>R139/Lähtötiedot!$L$12/1000</f>
        <v>3.2744295182294767</v>
      </c>
      <c r="T139" s="55">
        <f>B139*$T$11+C139</f>
        <v>9276.8076828905032</v>
      </c>
      <c r="V139" s="56"/>
      <c r="W139" s="47">
        <f>R139/(Lähtötiedot!Q12*Lähtötiedot!F23)</f>
        <v>6.7225839269490051E-2</v>
      </c>
      <c r="X139" s="89"/>
      <c r="Y139" s="89"/>
      <c r="Z139" s="89"/>
      <c r="AA139" s="89"/>
      <c r="AB139" s="89"/>
      <c r="AC139" s="89"/>
      <c r="AD139" s="89"/>
      <c r="AE139" s="89"/>
      <c r="AF139" s="89"/>
      <c r="AG139" s="89"/>
      <c r="AH139" s="89"/>
      <c r="AI139" s="89"/>
      <c r="AJ139" s="89"/>
      <c r="AK139" s="89"/>
      <c r="AL139" s="89"/>
      <c r="AM139" s="89"/>
    </row>
    <row r="140" spans="1:39" ht="13">
      <c r="A140" s="51" t="s">
        <v>205</v>
      </c>
      <c r="B140" s="47">
        <f>B139/Lähtötiedot!$L$12/1000</f>
        <v>0.43629355492672467</v>
      </c>
      <c r="C140" s="47">
        <f>C139/Lähtötiedot!$L$12/1000</f>
        <v>2.8381359633027525</v>
      </c>
      <c r="D140" s="53"/>
      <c r="E140" s="53"/>
      <c r="F140" s="52"/>
      <c r="G140" s="52"/>
      <c r="H140" s="52"/>
      <c r="K140" s="52"/>
      <c r="L140" s="53"/>
      <c r="M140" s="53"/>
      <c r="N140" s="53"/>
      <c r="O140" s="53"/>
      <c r="P140" s="53"/>
      <c r="Q140" s="53"/>
      <c r="R140" s="57">
        <f>SUM(B140:Q140)</f>
        <v>3.2744295182294771</v>
      </c>
      <c r="S140" s="47"/>
      <c r="T140" s="55"/>
      <c r="U140" s="47">
        <f>T139/Lähtötiedot!$L$12/1000</f>
        <v>3.7107230731562013</v>
      </c>
      <c r="V140" s="56"/>
      <c r="W140" s="47"/>
      <c r="X140" s="89"/>
      <c r="Y140" s="89"/>
      <c r="Z140" s="89"/>
      <c r="AA140" s="89"/>
      <c r="AB140" s="89"/>
      <c r="AC140" s="89"/>
      <c r="AD140" s="89"/>
      <c r="AE140" s="89"/>
      <c r="AF140" s="89"/>
      <c r="AG140" s="89"/>
      <c r="AH140" s="89"/>
      <c r="AI140" s="89"/>
      <c r="AJ140" s="89"/>
      <c r="AK140" s="89"/>
      <c r="AL140" s="89"/>
      <c r="AM140" s="89"/>
    </row>
    <row r="141" spans="1:39" ht="13">
      <c r="A141" s="58" t="s">
        <v>206</v>
      </c>
      <c r="B141" s="19">
        <f>Lähtötiedot!S12*Lähtötiedot!Q12*Lähtötiedot!F12*'Kotikonemallien lähtötiedot'!H6*'Päästökertoimet ja niiden laatu'!B20</f>
        <v>85.092714613368287</v>
      </c>
      <c r="C141" s="19">
        <f>Lähtötiedot!F12*Lähtötiedot!Q12*Lähtötiedot!S12*'Kotikonemallien lähtötiedot'!R6*'Päästökertoimet ja niiden laatu'!B20</f>
        <v>553.53715596330267</v>
      </c>
      <c r="D141" s="8"/>
      <c r="E141" s="8"/>
      <c r="F141" s="19"/>
      <c r="G141" s="8"/>
      <c r="H141" s="19"/>
      <c r="K141" s="19"/>
      <c r="M141" s="8"/>
      <c r="R141" s="60">
        <f>SUM(B141:Q141)</f>
        <v>638.62987057667101</v>
      </c>
      <c r="S141" s="61">
        <f>R141/Lähtötiedot!$L$12/1000</f>
        <v>0.25545194823066841</v>
      </c>
      <c r="T141" s="55"/>
      <c r="U141" s="47"/>
      <c r="V141" s="56"/>
      <c r="W141" s="90"/>
    </row>
    <row r="142" spans="1:39" ht="13">
      <c r="A142" s="51" t="s">
        <v>207</v>
      </c>
      <c r="B142" s="19">
        <f>Lähtötiedot!F12*Lähtötiedot!Q12*'Kotikonemallien lähtötiedot'!I6*Lähtötiedot!S12</f>
        <v>468.52440039318481</v>
      </c>
      <c r="C142" s="19"/>
      <c r="D142" s="8"/>
      <c r="E142" s="8"/>
      <c r="F142" s="19"/>
      <c r="G142" s="8"/>
      <c r="H142" s="19"/>
      <c r="K142" s="19"/>
      <c r="M142" s="8"/>
      <c r="R142" s="87">
        <f>SUM(B142:Q142)</f>
        <v>468.52440039318481</v>
      </c>
      <c r="S142" s="87">
        <f>R142/Lähtötiedot!$L$12</f>
        <v>187.40976015727392</v>
      </c>
      <c r="T142" s="55"/>
      <c r="U142" s="47"/>
      <c r="V142" s="56"/>
      <c r="W142" s="90">
        <f>R142/(Lähtötiedot!Q12*Lähtötiedot!F23)</f>
        <v>3.8476254699410625E-3</v>
      </c>
    </row>
    <row r="143" spans="1:39" ht="12.5">
      <c r="S143" s="92"/>
      <c r="T143" s="93"/>
      <c r="U143" s="92"/>
      <c r="V143" s="94"/>
    </row>
    <row r="144" spans="1:39" ht="13">
      <c r="A144" s="332" t="str">
        <f>(Lähtötiedot!B10&amp;", "&amp;Lähtötiedot!C13)</f>
        <v>Toimija 3, Toimija 3 vaate 4</v>
      </c>
      <c r="B144" s="329" t="str">
        <f>Lähtötiedot!C13</f>
        <v>Toimija 3 vaate 4</v>
      </c>
      <c r="C144" s="302"/>
      <c r="D144" s="302"/>
      <c r="E144" s="302"/>
      <c r="F144" s="302"/>
      <c r="G144" s="302"/>
      <c r="H144" s="302"/>
      <c r="I144" s="302"/>
      <c r="J144" s="302"/>
      <c r="K144" s="302"/>
      <c r="L144" s="302"/>
      <c r="M144" s="302"/>
      <c r="N144" s="302"/>
      <c r="O144" s="302"/>
      <c r="P144" s="302"/>
      <c r="Q144" s="302"/>
      <c r="R144" s="302"/>
      <c r="S144" s="69"/>
      <c r="T144" s="42"/>
      <c r="U144" s="45"/>
      <c r="V144" s="70"/>
      <c r="W144" s="332" t="s">
        <v>226</v>
      </c>
    </row>
    <row r="145" spans="1:39" ht="13">
      <c r="A145" s="302"/>
      <c r="B145" s="1" t="s">
        <v>198</v>
      </c>
      <c r="C145" s="1" t="s">
        <v>199</v>
      </c>
      <c r="D145" s="1"/>
      <c r="E145" s="1"/>
      <c r="F145" s="1"/>
      <c r="G145" s="1"/>
      <c r="H145" s="1"/>
      <c r="K145" s="1"/>
      <c r="L145" s="1"/>
      <c r="M145" s="1"/>
      <c r="N145" s="1"/>
      <c r="O145" s="1"/>
      <c r="P145" s="1"/>
      <c r="Q145" s="1"/>
      <c r="R145" s="1" t="s">
        <v>200</v>
      </c>
      <c r="S145" s="47" t="s">
        <v>201</v>
      </c>
      <c r="T145" s="71"/>
      <c r="U145" s="47"/>
      <c r="V145" s="72"/>
      <c r="W145" s="302"/>
    </row>
    <row r="146" spans="1:39" ht="13">
      <c r="A146" s="51" t="s">
        <v>223</v>
      </c>
      <c r="B146" s="19">
        <f>Lähtötiedot!S13*Lähtötiedot!Q13*Lähtötiedot!F13*'Kotikonemallien lähtötiedot'!H6*'Päästökertoimet ja niiden laatu'!B21</f>
        <v>1090.7338873168117</v>
      </c>
      <c r="C146" s="19">
        <f>Lähtötiedot!F13*Lähtötiedot!Q13*Lähtötiedot!S13*'Kotikonemallien lähtötiedot'!R6*'Päästökertoimet ja niiden laatu'!B21</f>
        <v>7095.3399082568803</v>
      </c>
      <c r="D146" s="53"/>
      <c r="E146" s="53"/>
      <c r="F146" s="52"/>
      <c r="G146" s="52"/>
      <c r="H146" s="52"/>
      <c r="K146" s="52"/>
      <c r="L146" s="53"/>
      <c r="M146" s="53"/>
      <c r="N146" s="53"/>
      <c r="O146" s="53"/>
      <c r="P146" s="53"/>
      <c r="Q146" s="53"/>
      <c r="R146" s="52">
        <f>SUM(B146:Q146)</f>
        <v>8186.0737955736922</v>
      </c>
      <c r="S146" s="47">
        <f>R146/Lähtötiedot!$L$13/1000</f>
        <v>3.2744295182294767</v>
      </c>
      <c r="T146" s="55">
        <f>B146*$T$11+C146</f>
        <v>9276.8076828905032</v>
      </c>
      <c r="V146" s="56"/>
      <c r="W146" s="95">
        <f>R146/(Lähtötiedot!Q13*Lähtötiedot!F23)</f>
        <v>6.7225839269490051E-2</v>
      </c>
      <c r="X146" s="89"/>
      <c r="Y146" s="89"/>
      <c r="Z146" s="89"/>
      <c r="AA146" s="89"/>
      <c r="AB146" s="89"/>
      <c r="AC146" s="89"/>
      <c r="AD146" s="89"/>
      <c r="AE146" s="89"/>
      <c r="AF146" s="89"/>
      <c r="AG146" s="89"/>
      <c r="AH146" s="89"/>
      <c r="AI146" s="89"/>
      <c r="AJ146" s="89"/>
      <c r="AK146" s="89"/>
      <c r="AL146" s="89"/>
      <c r="AM146" s="89"/>
    </row>
    <row r="147" spans="1:39" ht="13">
      <c r="A147" s="51" t="s">
        <v>205</v>
      </c>
      <c r="B147" s="47">
        <f>B146/Lähtötiedot!$L$13/1000</f>
        <v>0.43629355492672467</v>
      </c>
      <c r="C147" s="47">
        <f>C146/Lähtötiedot!$L$13/1000</f>
        <v>2.8381359633027525</v>
      </c>
      <c r="D147" s="53"/>
      <c r="E147" s="53"/>
      <c r="F147" s="52"/>
      <c r="G147" s="52"/>
      <c r="H147" s="52"/>
      <c r="K147" s="52"/>
      <c r="L147" s="53"/>
      <c r="M147" s="53"/>
      <c r="N147" s="53"/>
      <c r="O147" s="53"/>
      <c r="P147" s="53"/>
      <c r="Q147" s="53"/>
      <c r="R147" s="57">
        <f>SUM(B147:Q147)</f>
        <v>3.2744295182294771</v>
      </c>
      <c r="S147" s="47"/>
      <c r="T147" s="55"/>
      <c r="U147" s="47">
        <f>T146/Lähtötiedot!$L$13/1000</f>
        <v>3.7107230731562013</v>
      </c>
      <c r="V147" s="56"/>
      <c r="W147" s="95"/>
      <c r="X147" s="89"/>
      <c r="Y147" s="89"/>
      <c r="Z147" s="89"/>
      <c r="AA147" s="89"/>
      <c r="AB147" s="89"/>
      <c r="AC147" s="89"/>
      <c r="AD147" s="89"/>
      <c r="AE147" s="89"/>
      <c r="AF147" s="89"/>
      <c r="AG147" s="89"/>
      <c r="AH147" s="89"/>
      <c r="AI147" s="89"/>
      <c r="AJ147" s="89"/>
      <c r="AK147" s="89"/>
      <c r="AL147" s="89"/>
      <c r="AM147" s="89"/>
    </row>
    <row r="148" spans="1:39" ht="13">
      <c r="A148" s="58" t="s">
        <v>206</v>
      </c>
      <c r="B148" s="19">
        <f>Lähtötiedot!S13*Lähtötiedot!Q13*Lähtötiedot!F13*'Kotikonemallien lähtötiedot'!H6*'Päästökertoimet ja niiden laatu'!B20</f>
        <v>85.092714613368287</v>
      </c>
      <c r="C148" s="19">
        <f>Lähtötiedot!F13*Lähtötiedot!Q13*Lähtötiedot!S13*'Kotikonemallien lähtötiedot'!R6*'Päästökertoimet ja niiden laatu'!B20</f>
        <v>553.53715596330267</v>
      </c>
      <c r="D148" s="8"/>
      <c r="E148" s="8"/>
      <c r="F148" s="19"/>
      <c r="G148" s="8"/>
      <c r="H148" s="19"/>
      <c r="K148" s="19"/>
      <c r="M148" s="8"/>
      <c r="R148" s="60">
        <f>SUM(B148:Q148)</f>
        <v>638.62987057667101</v>
      </c>
      <c r="S148" s="61">
        <f>R148/Lähtötiedot!$L$13/1000</f>
        <v>0.25545194823066841</v>
      </c>
      <c r="T148" s="55"/>
      <c r="U148" s="47"/>
      <c r="V148" s="56"/>
      <c r="W148" s="99"/>
    </row>
    <row r="149" spans="1:39" ht="13">
      <c r="A149" s="51" t="s">
        <v>207</v>
      </c>
      <c r="B149" s="19">
        <f>Lähtötiedot!F13*Lähtötiedot!Q13*'Kotikonemallien lähtötiedot'!I6*Lähtötiedot!S13</f>
        <v>468.52440039318481</v>
      </c>
      <c r="C149" s="19"/>
      <c r="D149" s="8"/>
      <c r="E149" s="8"/>
      <c r="F149" s="19"/>
      <c r="G149" s="8"/>
      <c r="H149" s="19"/>
      <c r="K149" s="19"/>
      <c r="M149" s="8"/>
      <c r="R149" s="87">
        <f>SUM(B149:Q149)</f>
        <v>468.52440039318481</v>
      </c>
      <c r="S149" s="87">
        <f>R149/Lähtötiedot!$L$13</f>
        <v>187.40976015727392</v>
      </c>
      <c r="T149" s="55"/>
      <c r="U149" s="47"/>
      <c r="V149" s="56"/>
      <c r="W149" s="99">
        <f>R149/(Lähtötiedot!Q13*Lähtötiedot!F23)</f>
        <v>3.8476254699410625E-3</v>
      </c>
    </row>
    <row r="150" spans="1:39" ht="12.5">
      <c r="S150" s="92"/>
      <c r="T150" s="93"/>
      <c r="U150" s="92"/>
      <c r="V150" s="94"/>
    </row>
    <row r="151" spans="1:39" ht="13">
      <c r="A151" s="331" t="str">
        <f>(Lähtötiedot!B10&amp;", "&amp;Lähtötiedot!C10)</f>
        <v>Toimija 3, Toimija 3 vaate 1</v>
      </c>
      <c r="B151" s="330" t="str">
        <f>Lähtötiedot!C10</f>
        <v>Toimija 3 vaate 1</v>
      </c>
      <c r="C151" s="302"/>
      <c r="D151" s="302"/>
      <c r="E151" s="302"/>
      <c r="F151" s="302"/>
      <c r="G151" s="302"/>
      <c r="H151" s="302"/>
      <c r="I151" s="302"/>
      <c r="J151" s="302"/>
      <c r="K151" s="302"/>
      <c r="L151" s="302"/>
      <c r="M151" s="302"/>
      <c r="N151" s="302"/>
      <c r="O151" s="302"/>
      <c r="P151" s="302"/>
      <c r="Q151" s="302"/>
      <c r="R151" s="302"/>
      <c r="S151" s="82"/>
      <c r="T151" s="83"/>
      <c r="U151" s="45"/>
      <c r="V151" s="84"/>
      <c r="W151" s="331" t="s">
        <v>222</v>
      </c>
    </row>
    <row r="152" spans="1:39" ht="13">
      <c r="A152" s="302"/>
      <c r="B152" s="1" t="s">
        <v>210</v>
      </c>
      <c r="C152" s="1" t="s">
        <v>193</v>
      </c>
      <c r="D152" s="1" t="s">
        <v>211</v>
      </c>
      <c r="E152" s="1" t="s">
        <v>212</v>
      </c>
      <c r="F152" s="1" t="s">
        <v>213</v>
      </c>
      <c r="G152" s="1" t="s">
        <v>214</v>
      </c>
      <c r="H152" s="1" t="s">
        <v>193</v>
      </c>
      <c r="K152" s="1"/>
      <c r="R152" s="1" t="s">
        <v>200</v>
      </c>
      <c r="S152" s="47" t="s">
        <v>201</v>
      </c>
      <c r="T152" s="71"/>
      <c r="U152" s="47"/>
      <c r="V152" s="72"/>
      <c r="W152" s="302"/>
    </row>
    <row r="153" spans="1:39" ht="13">
      <c r="A153" s="51" t="s">
        <v>220</v>
      </c>
      <c r="B153" s="8">
        <f>Lähtötiedot!F18*'Päästökertoimet ja niiden laatu'!B11*(Lähtötiedot!F10*Lähtötiedot!Q10)/1000</f>
        <v>3.9794036697247712</v>
      </c>
      <c r="C153" s="8">
        <f>Lähtötiedot!F18*'Päästökertoimet ja niiden laatu'!B12*'Päästökertoimet ja niiden laatu'!B17*Lähtötiedot!F10/1000*Lähtötiedot!Q10</f>
        <v>1.0576370642201836</v>
      </c>
      <c r="D153" s="8">
        <f ca="1">'Palveluntarjoajien lähtötiedot'!C7*Lähtötiedot!F10*Lähtötiedot!Q10*'Päästökertoimet ja niiden laatu'!B21</f>
        <v>2582.82247706422</v>
      </c>
      <c r="E153" s="8">
        <f ca="1">'Palveluntarjoajien lähtötiedot'!F7*Lähtötiedot!F10*Lähtötiedot!Q10*'Päästökertoimet ja niiden laatu'!B23*'Päästökertoimet ja niiden laatu'!B25*'Päästökertoimet ja niiden laatu'!B26*'Palveluntarjoajien lähtötiedot'!G7</f>
        <v>15840.372978756179</v>
      </c>
      <c r="F153" s="8">
        <f ca="1">'Palveluntarjoajien lähtötiedot'!F7*Lähtötiedot!F10*Lähtötiedot!Q10*'Palveluntarjoajien lähtötiedot'!H7*'Päästökertoimet ja niiden laatu'!B28*'Päästökertoimet ja niiden laatu'!B29</f>
        <v>1.2349422770444181</v>
      </c>
      <c r="G153" s="8">
        <f>Lähtötiedot!F18*'Päästökertoimet ja niiden laatu'!B11*(Lähtötiedot!F10*Lähtötiedot!Q10)/1000</f>
        <v>3.9794036697247712</v>
      </c>
      <c r="H153" s="8">
        <f>Lähtötiedot!F18*'Päästökertoimet ja niiden laatu'!B12*'Päästökertoimet ja niiden laatu'!B17*Lähtötiedot!F10/1000*Lähtötiedot!Q10</f>
        <v>1.0576370642201836</v>
      </c>
      <c r="I153" s="13"/>
      <c r="J153" s="13"/>
      <c r="K153" s="13"/>
      <c r="L153" s="13"/>
      <c r="M153" s="13"/>
      <c r="N153" s="13"/>
      <c r="O153" s="13"/>
      <c r="P153" s="13"/>
      <c r="Q153" s="13"/>
      <c r="R153" s="53">
        <f ca="1">SUM(B153:Q153)</f>
        <v>18434.504479565334</v>
      </c>
      <c r="S153" s="57">
        <f ca="1">R153/Lähtötiedot!$L$10/1000</f>
        <v>7.3738017918261338</v>
      </c>
      <c r="T153" s="85"/>
      <c r="U153" s="57"/>
      <c r="V153" s="86"/>
      <c r="W153" s="57">
        <f ca="1">R153/(Lähtötiedot!Q10*Lähtötiedot!F23)</f>
        <v>0.15138820710681161</v>
      </c>
    </row>
    <row r="154" spans="1:39" ht="13">
      <c r="A154" s="51" t="s">
        <v>205</v>
      </c>
      <c r="B154" s="47">
        <f>B153/Lähtötiedot!$L$10/1000</f>
        <v>1.5917614678899086E-3</v>
      </c>
      <c r="C154" s="47">
        <f>C153/Lähtötiedot!$L$10/1000</f>
        <v>4.2305482568807338E-4</v>
      </c>
      <c r="D154" s="47">
        <f ca="1">D153/Lähtötiedot!$L$10/1000</f>
        <v>1.0331289908256882</v>
      </c>
      <c r="E154" s="47">
        <f ca="1">E153/Lähtötiedot!$L$10/1000</f>
        <v>6.3361491915024715</v>
      </c>
      <c r="F154" s="47">
        <f ca="1">F153/Lähtötiedot!$L$10/1000</f>
        <v>4.9397691081776727E-4</v>
      </c>
      <c r="G154" s="47">
        <f>G153/Lähtötiedot!$L$10/1000</f>
        <v>1.5917614678899086E-3</v>
      </c>
      <c r="H154" s="47">
        <f>H153/Lähtötiedot!$L$10/1000</f>
        <v>4.2305482568807338E-4</v>
      </c>
      <c r="I154" s="13"/>
      <c r="J154" s="13"/>
      <c r="K154" s="13"/>
      <c r="L154" s="13"/>
      <c r="M154" s="13"/>
      <c r="N154" s="13"/>
      <c r="O154" s="13"/>
      <c r="P154" s="13"/>
      <c r="Q154" s="13"/>
      <c r="R154" s="57">
        <f ca="1">SUM(B154:Q154)</f>
        <v>7.3738017918261338</v>
      </c>
      <c r="S154" s="57"/>
      <c r="T154" s="85"/>
      <c r="U154" s="57"/>
      <c r="V154" s="86"/>
      <c r="W154" s="57"/>
    </row>
    <row r="155" spans="1:39" ht="13">
      <c r="A155" s="58" t="s">
        <v>206</v>
      </c>
      <c r="B155" s="8">
        <f>B153</f>
        <v>3.9794036697247712</v>
      </c>
      <c r="C155" s="8">
        <f>C153</f>
        <v>1.0576370642201836</v>
      </c>
      <c r="D155" s="8">
        <f ca="1">'Palveluntarjoajien lähtötiedot'!C7*Lähtötiedot!F10*Lähtötiedot!Q10*'Päästökertoimet ja niiden laatu'!B20</f>
        <v>201.49678899082568</v>
      </c>
      <c r="E155" s="13">
        <f>'Palveluntarjoajien lähtötiedot'!F7*Lähtötiedot!F10*Lähtötiedot!Q10*'Päästökertoimet ja niiden laatu'!B23*'Päästökertoimet ja niiden laatu'!B25*'Päästökertoimet ja niiden laatu'!B26*V11</f>
        <v>0</v>
      </c>
      <c r="F155" s="8">
        <f>'Palveluntarjoajien lähtötiedot'!F7*Lähtötiedot!F10*Lähtötiedot!Q10*V10*'Päästökertoimet ja niiden laatu'!B28*'Päästökertoimet ja niiden laatu'!B29</f>
        <v>185.24134155666292</v>
      </c>
      <c r="G155" s="8">
        <f>G153</f>
        <v>3.9794036697247712</v>
      </c>
      <c r="H155" s="8">
        <f>H153</f>
        <v>1.0576370642201836</v>
      </c>
      <c r="R155" s="60">
        <f ca="1">SUM(B155:Q155)</f>
        <v>396.81221201537852</v>
      </c>
      <c r="S155" s="88">
        <f ca="1">R155/Lähtötiedot!$L$10/1000</f>
        <v>0.15872488480615141</v>
      </c>
      <c r="T155" s="62"/>
      <c r="U155" s="57"/>
      <c r="V155" s="63"/>
      <c r="W155" s="98"/>
    </row>
    <row r="156" spans="1:39" ht="13">
      <c r="A156" s="51" t="s">
        <v>207</v>
      </c>
      <c r="B156" s="13"/>
      <c r="C156" s="13"/>
      <c r="D156" s="8">
        <f>'Palveluntarjoajien lähtötiedot'!I7*Lähtötiedot!F10*Lähtötiedot!Q10</f>
        <v>388.46559633027528</v>
      </c>
      <c r="E156" s="13"/>
      <c r="F156" s="13"/>
      <c r="R156" s="65">
        <f>SUM(B156:Q156)</f>
        <v>388.46559633027528</v>
      </c>
      <c r="S156" s="65">
        <f>R156/Lähtötiedot!$L$10</f>
        <v>155.3862385321101</v>
      </c>
      <c r="T156" s="62"/>
      <c r="U156" s="57"/>
      <c r="V156" s="63"/>
      <c r="W156" s="98">
        <f>R156/(Lähtötiedot!Q10*Lähtötiedot!F23)</f>
        <v>3.190164954870837E-3</v>
      </c>
    </row>
    <row r="157" spans="1:39" ht="12.5">
      <c r="S157" s="92"/>
      <c r="T157" s="93"/>
      <c r="U157" s="92"/>
      <c r="V157" s="94"/>
    </row>
    <row r="158" spans="1:39" ht="13">
      <c r="A158" s="331" t="str">
        <f>(Lähtötiedot!B10&amp;", "&amp;Lähtötiedot!C11)</f>
        <v>Toimija 3, Toimija 3 vaate 2</v>
      </c>
      <c r="B158" s="330" t="str">
        <f>Lähtötiedot!C11</f>
        <v>Toimija 3 vaate 2</v>
      </c>
      <c r="C158" s="302"/>
      <c r="D158" s="302"/>
      <c r="E158" s="302"/>
      <c r="F158" s="302"/>
      <c r="G158" s="302"/>
      <c r="H158" s="302"/>
      <c r="I158" s="302"/>
      <c r="J158" s="302"/>
      <c r="K158" s="302"/>
      <c r="L158" s="302"/>
      <c r="M158" s="302"/>
      <c r="N158" s="302"/>
      <c r="O158" s="302"/>
      <c r="P158" s="302"/>
      <c r="Q158" s="302"/>
      <c r="R158" s="302"/>
      <c r="S158" s="82"/>
      <c r="T158" s="83"/>
      <c r="U158" s="45"/>
      <c r="V158" s="84"/>
      <c r="W158" s="331" t="s">
        <v>227</v>
      </c>
    </row>
    <row r="159" spans="1:39" ht="13">
      <c r="A159" s="302"/>
      <c r="B159" s="1" t="s">
        <v>210</v>
      </c>
      <c r="C159" s="1" t="s">
        <v>193</v>
      </c>
      <c r="D159" s="1" t="s">
        <v>211</v>
      </c>
      <c r="E159" s="1" t="s">
        <v>212</v>
      </c>
      <c r="F159" s="1" t="s">
        <v>213</v>
      </c>
      <c r="G159" s="1" t="s">
        <v>214</v>
      </c>
      <c r="H159" s="1" t="s">
        <v>193</v>
      </c>
      <c r="K159" s="1"/>
      <c r="R159" s="1" t="s">
        <v>200</v>
      </c>
      <c r="S159" s="47" t="s">
        <v>201</v>
      </c>
      <c r="T159" s="71"/>
      <c r="U159" s="47"/>
      <c r="V159" s="72"/>
      <c r="W159" s="302"/>
    </row>
    <row r="160" spans="1:39" ht="13">
      <c r="A160" s="51" t="s">
        <v>220</v>
      </c>
      <c r="B160" s="8">
        <f>Lähtötiedot!F18*'Päästökertoimet ja niiden laatu'!B11*(Lähtötiedot!F11*Lähtötiedot!Q11)/1000</f>
        <v>3.9794036697247712</v>
      </c>
      <c r="C160" s="8">
        <f>Lähtötiedot!F18*'Päästökertoimet ja niiden laatu'!B12*'Päästökertoimet ja niiden laatu'!B17*Lähtötiedot!F11/1000*Lähtötiedot!Q11</f>
        <v>1.0576370642201836</v>
      </c>
      <c r="D160" s="8">
        <f ca="1">'Palveluntarjoajien lähtötiedot'!C7*Lähtötiedot!F11*Lähtötiedot!Q11*'Päästökertoimet ja niiden laatu'!B21</f>
        <v>2582.82247706422</v>
      </c>
      <c r="E160" s="8">
        <f ca="1">'Palveluntarjoajien lähtötiedot'!F7*Lähtötiedot!F11*Lähtötiedot!Q11*'Päästökertoimet ja niiden laatu'!B23*'Päästökertoimet ja niiden laatu'!B25*'Päästökertoimet ja niiden laatu'!B26*'Palveluntarjoajien lähtötiedot'!G7</f>
        <v>15840.372978756179</v>
      </c>
      <c r="F160" s="8">
        <f ca="1">'Palveluntarjoajien lähtötiedot'!F7*Lähtötiedot!F11*Lähtötiedot!Q11*'Palveluntarjoajien lähtötiedot'!H7*'Päästökertoimet ja niiden laatu'!B28*'Päästökertoimet ja niiden laatu'!B29</f>
        <v>1.2349422770444181</v>
      </c>
      <c r="G160" s="8">
        <f>Lähtötiedot!F18*'Päästökertoimet ja niiden laatu'!B11*(Lähtötiedot!F11*Lähtötiedot!Q11)/1000</f>
        <v>3.9794036697247712</v>
      </c>
      <c r="H160" s="8">
        <f>Lähtötiedot!F18*'Päästökertoimet ja niiden laatu'!B12*'Päästökertoimet ja niiden laatu'!B17*Lähtötiedot!F11/1000*Lähtötiedot!Q11</f>
        <v>1.0576370642201836</v>
      </c>
      <c r="I160" s="13"/>
      <c r="J160" s="13"/>
      <c r="K160" s="13"/>
      <c r="L160" s="13"/>
      <c r="M160" s="13"/>
      <c r="N160" s="13"/>
      <c r="O160" s="13"/>
      <c r="P160" s="13"/>
      <c r="Q160" s="13"/>
      <c r="R160" s="53">
        <f ca="1">SUM(B160:Q160)</f>
        <v>18434.504479565334</v>
      </c>
      <c r="S160" s="57">
        <f ca="1">R160/Lähtötiedot!$L$11/1000</f>
        <v>7.3738017918261338</v>
      </c>
      <c r="T160" s="85"/>
      <c r="U160" s="57"/>
      <c r="V160" s="86"/>
      <c r="W160" s="57">
        <f ca="1">R160/(Lähtötiedot!Q11*Lähtötiedot!F23)</f>
        <v>0.15138820710681161</v>
      </c>
    </row>
    <row r="161" spans="1:23" ht="13">
      <c r="A161" s="51" t="s">
        <v>205</v>
      </c>
      <c r="B161" s="47">
        <f>B160/Lähtötiedot!$L$11/1000</f>
        <v>1.5917614678899086E-3</v>
      </c>
      <c r="C161" s="47">
        <f>C160/Lähtötiedot!$L$11/1000</f>
        <v>4.2305482568807338E-4</v>
      </c>
      <c r="D161" s="47">
        <f ca="1">D160/Lähtötiedot!$L$11/1000</f>
        <v>1.0331289908256882</v>
      </c>
      <c r="E161" s="47">
        <f ca="1">E160/Lähtötiedot!$L$11/1000</f>
        <v>6.3361491915024715</v>
      </c>
      <c r="F161" s="47">
        <f ca="1">F160/Lähtötiedot!$L$11/1000</f>
        <v>4.9397691081776727E-4</v>
      </c>
      <c r="G161" s="47">
        <f>G160/Lähtötiedot!$L$11/1000</f>
        <v>1.5917614678899086E-3</v>
      </c>
      <c r="H161" s="47">
        <f>H160/Lähtötiedot!$L$11/1000</f>
        <v>4.2305482568807338E-4</v>
      </c>
      <c r="I161" s="13"/>
      <c r="J161" s="13"/>
      <c r="K161" s="13"/>
      <c r="L161" s="13"/>
      <c r="M161" s="13"/>
      <c r="N161" s="13"/>
      <c r="O161" s="13"/>
      <c r="P161" s="13"/>
      <c r="Q161" s="13"/>
      <c r="R161" s="57">
        <f ca="1">SUM(B161:Q161)</f>
        <v>7.3738017918261338</v>
      </c>
      <c r="S161" s="57"/>
      <c r="T161" s="85"/>
      <c r="U161" s="57"/>
      <c r="V161" s="86"/>
      <c r="W161" s="57"/>
    </row>
    <row r="162" spans="1:23" ht="13">
      <c r="A162" s="58" t="s">
        <v>206</v>
      </c>
      <c r="B162" s="8">
        <f>B160</f>
        <v>3.9794036697247712</v>
      </c>
      <c r="C162" s="19">
        <f>C160</f>
        <v>1.0576370642201836</v>
      </c>
      <c r="D162" s="8">
        <f ca="1">'Palveluntarjoajien lähtötiedot'!C7*Lähtötiedot!F11*Lähtötiedot!Q11*'Päästökertoimet ja niiden laatu'!B20</f>
        <v>201.49678899082568</v>
      </c>
      <c r="E162" s="13">
        <f>'Palveluntarjoajien lähtötiedot'!F7*Lähtötiedot!F11*Lähtötiedot!Q11*'Päästökertoimet ja niiden laatu'!B23*'Päästökertoimet ja niiden laatu'!B25*'Päästökertoimet ja niiden laatu'!B26*V11</f>
        <v>0</v>
      </c>
      <c r="F162" s="8">
        <f>'Palveluntarjoajien lähtötiedot'!F7*Lähtötiedot!F11*Lähtötiedot!Q11*V10*'Päästökertoimet ja niiden laatu'!B28*'Päästökertoimet ja niiden laatu'!B29</f>
        <v>185.24134155666292</v>
      </c>
      <c r="G162" s="19">
        <f>G160</f>
        <v>3.9794036697247712</v>
      </c>
      <c r="H162" s="8">
        <f>H160</f>
        <v>1.0576370642201836</v>
      </c>
      <c r="R162" s="60">
        <f ca="1">SUM(B162:Q162)</f>
        <v>396.81221201537852</v>
      </c>
      <c r="S162" s="88">
        <f ca="1">R162/Lähtötiedot!$L$11/1000</f>
        <v>0.15872488480615141</v>
      </c>
      <c r="T162" s="62"/>
      <c r="U162" s="57"/>
      <c r="V162" s="63"/>
      <c r="W162" s="91"/>
    </row>
    <row r="163" spans="1:23" ht="13">
      <c r="A163" s="51" t="s">
        <v>207</v>
      </c>
      <c r="D163" s="8">
        <f>'Palveluntarjoajien lähtötiedot'!I7*Lähtötiedot!F11*Lähtötiedot!Q11</f>
        <v>388.46559633027528</v>
      </c>
      <c r="R163" s="65">
        <f>SUM(B163:Q163)</f>
        <v>388.46559633027528</v>
      </c>
      <c r="S163" s="65">
        <f>R163/Lähtötiedot!$L$11</f>
        <v>155.3862385321101</v>
      </c>
      <c r="T163" s="62"/>
      <c r="U163" s="57"/>
      <c r="V163" s="63"/>
      <c r="W163" s="91">
        <f>R163/(Lähtötiedot!Q11*Lähtötiedot!F23)</f>
        <v>3.190164954870837E-3</v>
      </c>
    </row>
    <row r="164" spans="1:23" ht="12.5">
      <c r="S164" s="92"/>
      <c r="T164" s="93"/>
      <c r="U164" s="92"/>
      <c r="V164" s="94"/>
    </row>
    <row r="165" spans="1:23" ht="13">
      <c r="A165" s="331" t="str">
        <f>(Lähtötiedot!B10&amp;", "&amp;Lähtötiedot!C12)</f>
        <v>Toimija 3, Toimija 3 vaate 3</v>
      </c>
      <c r="B165" s="330" t="str">
        <f>Lähtötiedot!C12</f>
        <v>Toimija 3 vaate 3</v>
      </c>
      <c r="C165" s="302"/>
      <c r="D165" s="302"/>
      <c r="E165" s="302"/>
      <c r="F165" s="302"/>
      <c r="G165" s="302"/>
      <c r="H165" s="302"/>
      <c r="I165" s="302"/>
      <c r="J165" s="302"/>
      <c r="K165" s="302"/>
      <c r="L165" s="302"/>
      <c r="M165" s="302"/>
      <c r="N165" s="302"/>
      <c r="O165" s="302"/>
      <c r="P165" s="302"/>
      <c r="Q165" s="302"/>
      <c r="R165" s="302"/>
      <c r="S165" s="82"/>
      <c r="T165" s="83"/>
      <c r="U165" s="45"/>
      <c r="V165" s="84"/>
      <c r="W165" s="331" t="s">
        <v>228</v>
      </c>
    </row>
    <row r="166" spans="1:23" ht="13">
      <c r="A166" s="302"/>
      <c r="B166" s="1" t="s">
        <v>210</v>
      </c>
      <c r="C166" s="1" t="s">
        <v>193</v>
      </c>
      <c r="D166" s="1" t="s">
        <v>211</v>
      </c>
      <c r="E166" s="1" t="s">
        <v>212</v>
      </c>
      <c r="F166" s="1" t="s">
        <v>213</v>
      </c>
      <c r="G166" s="1" t="s">
        <v>214</v>
      </c>
      <c r="H166" s="1" t="s">
        <v>193</v>
      </c>
      <c r="K166" s="1"/>
      <c r="R166" s="1" t="s">
        <v>200</v>
      </c>
      <c r="S166" s="47" t="s">
        <v>201</v>
      </c>
      <c r="T166" s="71"/>
      <c r="U166" s="47"/>
      <c r="V166" s="72"/>
      <c r="W166" s="302"/>
    </row>
    <row r="167" spans="1:23" ht="13">
      <c r="A167" s="51" t="s">
        <v>229</v>
      </c>
      <c r="B167" s="8">
        <f>Lähtötiedot!F18*'Päästökertoimet ja niiden laatu'!B11*(Lähtötiedot!F12*Lähtötiedot!Q12)/1000</f>
        <v>3.9794036697247712</v>
      </c>
      <c r="C167" s="8">
        <f>Lähtötiedot!F18*'Päästökertoimet ja niiden laatu'!B12*'Päästökertoimet ja niiden laatu'!B17*Lähtötiedot!F12/1000*Lähtötiedot!Q12</f>
        <v>1.0576370642201836</v>
      </c>
      <c r="D167" s="8">
        <f ca="1">'Palveluntarjoajien lähtötiedot'!C7*Lähtötiedot!F12*Lähtötiedot!Q12*'Päästökertoimet ja niiden laatu'!B21</f>
        <v>2582.82247706422</v>
      </c>
      <c r="E167" s="8">
        <f ca="1">'Palveluntarjoajien lähtötiedot'!F7*Lähtötiedot!F12*Lähtötiedot!Q12*'Päästökertoimet ja niiden laatu'!B23*'Päästökertoimet ja niiden laatu'!B25*'Päästökertoimet ja niiden laatu'!B26*'Palveluntarjoajien lähtötiedot'!G7</f>
        <v>15840.372978756179</v>
      </c>
      <c r="F167" s="8">
        <f ca="1">'Palveluntarjoajien lähtötiedot'!F7*Lähtötiedot!F12*Lähtötiedot!Q12*'Palveluntarjoajien lähtötiedot'!H7*'Päästökertoimet ja niiden laatu'!B28*'Päästökertoimet ja niiden laatu'!B29</f>
        <v>1.2349422770444181</v>
      </c>
      <c r="G167" s="8">
        <f>Lähtötiedot!F18*'Päästökertoimet ja niiden laatu'!B11*(Lähtötiedot!F12*Lähtötiedot!Q12)/1000</f>
        <v>3.9794036697247712</v>
      </c>
      <c r="H167" s="8">
        <f>Lähtötiedot!F18*'Päästökertoimet ja niiden laatu'!B12*'Päästökertoimet ja niiden laatu'!B17*Lähtötiedot!F12/1000*Lähtötiedot!Q12</f>
        <v>1.0576370642201836</v>
      </c>
      <c r="I167" s="13"/>
      <c r="J167" s="13"/>
      <c r="K167" s="13"/>
      <c r="L167" s="13"/>
      <c r="M167" s="13"/>
      <c r="N167" s="13"/>
      <c r="O167" s="13"/>
      <c r="P167" s="13"/>
      <c r="Q167" s="13"/>
      <c r="R167" s="53">
        <f ca="1">SUM(B167:Q167)</f>
        <v>18434.504479565334</v>
      </c>
      <c r="S167" s="57">
        <f ca="1">R167/Lähtötiedot!$L$12/1000</f>
        <v>7.3738017918261338</v>
      </c>
      <c r="T167" s="85"/>
      <c r="U167" s="57"/>
      <c r="V167" s="86"/>
      <c r="W167" s="57">
        <f ca="1">R167/(Lähtötiedot!Q12*Lähtötiedot!F23)</f>
        <v>0.15138820710681161</v>
      </c>
    </row>
    <row r="168" spans="1:23" ht="13">
      <c r="A168" s="51" t="s">
        <v>205</v>
      </c>
      <c r="B168" s="47">
        <f>B167/Lähtötiedot!$L$12/1000</f>
        <v>1.5917614678899086E-3</v>
      </c>
      <c r="C168" s="47">
        <f>C167/Lähtötiedot!$L$12/1000</f>
        <v>4.2305482568807338E-4</v>
      </c>
      <c r="D168" s="47">
        <f ca="1">D167/Lähtötiedot!$L$12/1000</f>
        <v>1.0331289908256882</v>
      </c>
      <c r="E168" s="47">
        <f ca="1">E167/Lähtötiedot!$L$12/1000</f>
        <v>6.3361491915024715</v>
      </c>
      <c r="F168" s="47">
        <f ca="1">F167/Lähtötiedot!$L$12/1000</f>
        <v>4.9397691081776727E-4</v>
      </c>
      <c r="G168" s="47">
        <f>G167/Lähtötiedot!$L$12/1000</f>
        <v>1.5917614678899086E-3</v>
      </c>
      <c r="H168" s="47">
        <f>H167/Lähtötiedot!$L$12/1000</f>
        <v>4.2305482568807338E-4</v>
      </c>
      <c r="I168" s="13"/>
      <c r="J168" s="13"/>
      <c r="K168" s="13"/>
      <c r="L168" s="13"/>
      <c r="M168" s="13"/>
      <c r="N168" s="13"/>
      <c r="O168" s="13"/>
      <c r="P168" s="13"/>
      <c r="Q168" s="13"/>
      <c r="R168" s="57">
        <f ca="1">SUM(B168:Q168)</f>
        <v>7.3738017918261338</v>
      </c>
      <c r="S168" s="57"/>
      <c r="T168" s="85"/>
      <c r="U168" s="57"/>
      <c r="V168" s="86"/>
      <c r="W168" s="57"/>
    </row>
    <row r="169" spans="1:23" ht="13">
      <c r="A169" s="58" t="s">
        <v>206</v>
      </c>
      <c r="B169" s="8">
        <f>B167</f>
        <v>3.9794036697247712</v>
      </c>
      <c r="C169" s="8">
        <f>C167</f>
        <v>1.0576370642201836</v>
      </c>
      <c r="D169" s="8">
        <f ca="1">'Palveluntarjoajien lähtötiedot'!C7*Lähtötiedot!F12*Lähtötiedot!Q12*'Päästökertoimet ja niiden laatu'!B20</f>
        <v>201.49678899082568</v>
      </c>
      <c r="E169" s="13">
        <f>'Palveluntarjoajien lähtötiedot'!F7*Lähtötiedot!F12*Lähtötiedot!Q12*'Päästökertoimet ja niiden laatu'!B23*'Päästökertoimet ja niiden laatu'!B25*'Päästökertoimet ja niiden laatu'!B26*V11</f>
        <v>0</v>
      </c>
      <c r="F169" s="8">
        <f>'Palveluntarjoajien lähtötiedot'!F7*Lähtötiedot!F12*Lähtötiedot!Q12*V10*'Päästökertoimet ja niiden laatu'!B28*'Päästökertoimet ja niiden laatu'!B29</f>
        <v>185.24134155666292</v>
      </c>
      <c r="G169" s="8">
        <f>G167</f>
        <v>3.9794036697247712</v>
      </c>
      <c r="H169" s="8">
        <f>H167</f>
        <v>1.0576370642201836</v>
      </c>
      <c r="R169" s="60">
        <f ca="1">SUM(B169:Q169)</f>
        <v>396.81221201537852</v>
      </c>
      <c r="S169" s="88">
        <f ca="1">R169/Lähtötiedot!$L$12/1000</f>
        <v>0.15872488480615141</v>
      </c>
      <c r="T169" s="62"/>
      <c r="U169" s="57"/>
      <c r="V169" s="63"/>
      <c r="W169" s="91"/>
    </row>
    <row r="170" spans="1:23" ht="13">
      <c r="A170" s="51" t="s">
        <v>207</v>
      </c>
      <c r="D170" s="8">
        <f>'Palveluntarjoajien lähtötiedot'!I7*Lähtötiedot!F12*Lähtötiedot!Q12</f>
        <v>388.46559633027528</v>
      </c>
      <c r="R170" s="65">
        <f>SUM(B170:Q170)</f>
        <v>388.46559633027528</v>
      </c>
      <c r="S170" s="65">
        <f>R170/Lähtötiedot!$L$12</f>
        <v>155.3862385321101</v>
      </c>
      <c r="T170" s="62"/>
      <c r="U170" s="57"/>
      <c r="V170" s="63"/>
      <c r="W170" s="91">
        <f>R170/(Lähtötiedot!Q12*Lähtötiedot!F23)</f>
        <v>3.190164954870837E-3</v>
      </c>
    </row>
    <row r="171" spans="1:23" ht="12.5">
      <c r="S171" s="92"/>
      <c r="T171" s="93"/>
      <c r="U171" s="92"/>
      <c r="V171" s="94"/>
    </row>
    <row r="172" spans="1:23" ht="13">
      <c r="A172" s="331" t="str">
        <f>(Lähtötiedot!B10&amp;", "&amp;Lähtötiedot!C13)</f>
        <v>Toimija 3, Toimija 3 vaate 4</v>
      </c>
      <c r="B172" s="330" t="str">
        <f>Lähtötiedot!C13</f>
        <v>Toimija 3 vaate 4</v>
      </c>
      <c r="C172" s="302"/>
      <c r="D172" s="302"/>
      <c r="E172" s="302"/>
      <c r="F172" s="302"/>
      <c r="G172" s="302"/>
      <c r="H172" s="302"/>
      <c r="I172" s="302"/>
      <c r="J172" s="302"/>
      <c r="K172" s="302"/>
      <c r="L172" s="302"/>
      <c r="M172" s="302"/>
      <c r="N172" s="302"/>
      <c r="O172" s="302"/>
      <c r="P172" s="302"/>
      <c r="Q172" s="302"/>
      <c r="R172" s="302"/>
      <c r="S172" s="82"/>
      <c r="T172" s="83"/>
      <c r="U172" s="45"/>
      <c r="V172" s="84"/>
      <c r="W172" s="331" t="s">
        <v>226</v>
      </c>
    </row>
    <row r="173" spans="1:23" ht="13">
      <c r="A173" s="302"/>
      <c r="B173" s="1" t="s">
        <v>210</v>
      </c>
      <c r="C173" s="1" t="s">
        <v>193</v>
      </c>
      <c r="D173" s="1" t="s">
        <v>211</v>
      </c>
      <c r="E173" s="1" t="s">
        <v>212</v>
      </c>
      <c r="F173" s="1" t="s">
        <v>213</v>
      </c>
      <c r="G173" s="1" t="s">
        <v>214</v>
      </c>
      <c r="H173" s="1" t="s">
        <v>193</v>
      </c>
      <c r="K173" s="1"/>
      <c r="R173" s="1" t="s">
        <v>200</v>
      </c>
      <c r="S173" s="47" t="s">
        <v>201</v>
      </c>
      <c r="T173" s="71"/>
      <c r="U173" s="47"/>
      <c r="V173" s="72"/>
      <c r="W173" s="302"/>
    </row>
    <row r="174" spans="1:23" ht="13">
      <c r="A174" s="51" t="s">
        <v>229</v>
      </c>
      <c r="B174" s="8">
        <f>Lähtötiedot!F18*'Päästökertoimet ja niiden laatu'!B11*(Lähtötiedot!F13*Lähtötiedot!Q13)/1000</f>
        <v>3.9794036697247712</v>
      </c>
      <c r="C174" s="8">
        <f>Lähtötiedot!F18*'Päästökertoimet ja niiden laatu'!B12*'Päästökertoimet ja niiden laatu'!B17*Lähtötiedot!F13/1000*Lähtötiedot!Q13</f>
        <v>1.0576370642201836</v>
      </c>
      <c r="D174" s="8">
        <f ca="1">'Palveluntarjoajien lähtötiedot'!C7*Lähtötiedot!F13*Lähtötiedot!Q13*'Päästökertoimet ja niiden laatu'!B21</f>
        <v>2582.82247706422</v>
      </c>
      <c r="E174" s="8">
        <f ca="1">'Palveluntarjoajien lähtötiedot'!F7*Lähtötiedot!F13*Lähtötiedot!Q13*'Päästökertoimet ja niiden laatu'!B23*'Päästökertoimet ja niiden laatu'!B25*'Päästökertoimet ja niiden laatu'!B26*'Palveluntarjoajien lähtötiedot'!G7</f>
        <v>15840.372978756179</v>
      </c>
      <c r="F174" s="8">
        <f ca="1">'Palveluntarjoajien lähtötiedot'!F7*Lähtötiedot!F13*Lähtötiedot!Q13*'Palveluntarjoajien lähtötiedot'!H7*'Päästökertoimet ja niiden laatu'!B28*'Päästökertoimet ja niiden laatu'!B29</f>
        <v>1.2349422770444181</v>
      </c>
      <c r="G174" s="8">
        <f>Lähtötiedot!F18*'Päästökertoimet ja niiden laatu'!B11*(Lähtötiedot!F13*Lähtötiedot!Q13)/1000</f>
        <v>3.9794036697247712</v>
      </c>
      <c r="H174" s="8">
        <f>Lähtötiedot!F18*'Päästökertoimet ja niiden laatu'!B12*'Päästökertoimet ja niiden laatu'!B17*Lähtötiedot!F13/1000*Lähtötiedot!Q13</f>
        <v>1.0576370642201836</v>
      </c>
      <c r="I174" s="13"/>
      <c r="J174" s="13"/>
      <c r="K174" s="13"/>
      <c r="L174" s="13"/>
      <c r="M174" s="13"/>
      <c r="N174" s="13"/>
      <c r="O174" s="13"/>
      <c r="P174" s="13"/>
      <c r="Q174" s="13"/>
      <c r="R174" s="53">
        <f ca="1">SUM(B174:Q174)</f>
        <v>18434.504479565334</v>
      </c>
      <c r="S174" s="57">
        <f ca="1">R174/Lähtötiedot!$L$13/1000</f>
        <v>7.3738017918261338</v>
      </c>
      <c r="T174" s="85"/>
      <c r="U174" s="57"/>
      <c r="V174" s="86"/>
      <c r="W174" s="57">
        <f ca="1">R174/(Lähtötiedot!Q13*Lähtötiedot!F23)</f>
        <v>0.15138820710681161</v>
      </c>
    </row>
    <row r="175" spans="1:23" ht="13">
      <c r="A175" s="51" t="s">
        <v>205</v>
      </c>
      <c r="B175" s="47">
        <f>B174/Lähtötiedot!$L$13/1000</f>
        <v>1.5917614678899086E-3</v>
      </c>
      <c r="C175" s="47">
        <f>C174/Lähtötiedot!$L$13/1000</f>
        <v>4.2305482568807338E-4</v>
      </c>
      <c r="D175" s="47">
        <f ca="1">D174/Lähtötiedot!$L$13/1000</f>
        <v>1.0331289908256882</v>
      </c>
      <c r="E175" s="47">
        <f ca="1">E174/Lähtötiedot!$L$13/1000</f>
        <v>6.3361491915024715</v>
      </c>
      <c r="F175" s="47">
        <f ca="1">F174/Lähtötiedot!$L$13/1000</f>
        <v>4.9397691081776727E-4</v>
      </c>
      <c r="G175" s="47">
        <f>G174/Lähtötiedot!$L$13/1000</f>
        <v>1.5917614678899086E-3</v>
      </c>
      <c r="H175" s="47">
        <f>H174/Lähtötiedot!$L$13/1000</f>
        <v>4.2305482568807338E-4</v>
      </c>
      <c r="I175" s="13"/>
      <c r="J175" s="13"/>
      <c r="K175" s="13"/>
      <c r="L175" s="13"/>
      <c r="M175" s="13"/>
      <c r="N175" s="13"/>
      <c r="O175" s="13"/>
      <c r="P175" s="13"/>
      <c r="Q175" s="13"/>
      <c r="R175" s="57">
        <f ca="1">SUM(B175:Q175)</f>
        <v>7.3738017918261338</v>
      </c>
      <c r="S175" s="57"/>
      <c r="T175" s="85"/>
      <c r="U175" s="57"/>
      <c r="V175" s="86"/>
      <c r="W175" s="57"/>
    </row>
    <row r="176" spans="1:23" ht="13">
      <c r="A176" s="58" t="s">
        <v>206</v>
      </c>
      <c r="B176" s="8">
        <f>B174</f>
        <v>3.9794036697247712</v>
      </c>
      <c r="C176" s="8">
        <f>C174</f>
        <v>1.0576370642201836</v>
      </c>
      <c r="D176" s="8">
        <f ca="1">'Palveluntarjoajien lähtötiedot'!C7*Lähtötiedot!F13*Lähtötiedot!Q13*'Päästökertoimet ja niiden laatu'!B20</f>
        <v>201.49678899082568</v>
      </c>
      <c r="E176" s="13">
        <f>'Palveluntarjoajien lähtötiedot'!F7*Lähtötiedot!F13*Lähtötiedot!Q13*'Päästökertoimet ja niiden laatu'!B23*'Päästökertoimet ja niiden laatu'!B25*'Päästökertoimet ja niiden laatu'!B26*V11</f>
        <v>0</v>
      </c>
      <c r="F176" s="8">
        <f>'Palveluntarjoajien lähtötiedot'!F7*Lähtötiedot!F13*Lähtötiedot!Q13*V10*'Päästökertoimet ja niiden laatu'!B28*'Päästökertoimet ja niiden laatu'!B29</f>
        <v>185.24134155666292</v>
      </c>
      <c r="G176" s="8">
        <f>G174</f>
        <v>3.9794036697247712</v>
      </c>
      <c r="H176" s="8">
        <f>H174</f>
        <v>1.0576370642201836</v>
      </c>
      <c r="R176" s="60">
        <f ca="1">SUM(B176:Q176)</f>
        <v>396.81221201537852</v>
      </c>
      <c r="S176" s="88">
        <f ca="1">R176/Lähtötiedot!$L$13/1000</f>
        <v>0.15872488480615141</v>
      </c>
      <c r="T176" s="62"/>
      <c r="U176" s="57"/>
      <c r="V176" s="63"/>
      <c r="W176" s="98"/>
    </row>
    <row r="177" spans="1:23" ht="13">
      <c r="A177" s="51" t="s">
        <v>207</v>
      </c>
      <c r="D177" s="8">
        <f>'Palveluntarjoajien lähtötiedot'!I7*Lähtötiedot!F13*Lähtötiedot!Q13</f>
        <v>388.46559633027528</v>
      </c>
      <c r="R177" s="65">
        <f>SUM(B177:Q177)</f>
        <v>388.46559633027528</v>
      </c>
      <c r="S177" s="65">
        <f>R177/Lähtötiedot!$L$13</f>
        <v>155.3862385321101</v>
      </c>
      <c r="T177" s="62"/>
      <c r="U177" s="57"/>
      <c r="V177" s="63"/>
      <c r="W177" s="98">
        <f>R177/(Lähtötiedot!Q13*Lähtötiedot!F23)</f>
        <v>3.190164954870837E-3</v>
      </c>
    </row>
    <row r="178" spans="1:23" ht="12.5">
      <c r="S178" s="92"/>
      <c r="T178" s="93"/>
      <c r="U178" s="92"/>
      <c r="V178" s="94"/>
    </row>
    <row r="179" spans="1:23" ht="12.5">
      <c r="S179" s="92"/>
      <c r="T179" s="93"/>
      <c r="U179" s="92"/>
      <c r="V179" s="94"/>
    </row>
    <row r="180" spans="1:23" ht="12.5">
      <c r="S180" s="92"/>
      <c r="T180" s="93"/>
      <c r="U180" s="92"/>
      <c r="V180" s="94"/>
    </row>
    <row r="181" spans="1:23" ht="12.5">
      <c r="S181" s="92"/>
      <c r="T181" s="93"/>
      <c r="U181" s="92"/>
      <c r="V181" s="94"/>
    </row>
    <row r="182" spans="1:23" ht="12.5">
      <c r="S182" s="92"/>
      <c r="T182" s="93"/>
      <c r="U182" s="92"/>
      <c r="V182" s="94"/>
    </row>
    <row r="183" spans="1:23" ht="12.5">
      <c r="S183" s="92"/>
      <c r="T183" s="93"/>
      <c r="U183" s="92"/>
      <c r="V183" s="94"/>
    </row>
    <row r="184" spans="1:23" ht="12.5">
      <c r="S184" s="92"/>
      <c r="T184" s="93"/>
      <c r="U184" s="92"/>
      <c r="V184" s="94"/>
    </row>
    <row r="185" spans="1:23" ht="12.5">
      <c r="S185" s="92"/>
      <c r="T185" s="93"/>
      <c r="U185" s="92"/>
      <c r="V185" s="94"/>
    </row>
    <row r="186" spans="1:23" ht="12.5">
      <c r="S186" s="92"/>
      <c r="T186" s="93"/>
      <c r="U186" s="92"/>
      <c r="V186" s="94"/>
    </row>
    <row r="187" spans="1:23" ht="12.5">
      <c r="S187" s="92"/>
      <c r="T187" s="93"/>
      <c r="U187" s="92"/>
      <c r="V187" s="94"/>
    </row>
    <row r="188" spans="1:23" ht="12.5">
      <c r="S188" s="92"/>
      <c r="T188" s="93"/>
      <c r="U188" s="92"/>
      <c r="V188" s="94"/>
    </row>
    <row r="189" spans="1:23" ht="12.5">
      <c r="S189" s="92"/>
      <c r="T189" s="93"/>
      <c r="U189" s="92"/>
      <c r="V189" s="94"/>
    </row>
    <row r="190" spans="1:23" ht="12.5">
      <c r="S190" s="92"/>
      <c r="T190" s="93"/>
      <c r="U190" s="92"/>
      <c r="V190" s="94"/>
    </row>
    <row r="191" spans="1:23" ht="12.5">
      <c r="S191" s="92"/>
      <c r="T191" s="93"/>
      <c r="U191" s="92"/>
      <c r="V191" s="94"/>
    </row>
    <row r="192" spans="1:23" ht="12.5">
      <c r="S192" s="92"/>
      <c r="T192" s="93"/>
      <c r="U192" s="92"/>
      <c r="V192" s="94"/>
    </row>
    <row r="193" spans="19:22" ht="12.5">
      <c r="S193" s="92"/>
      <c r="T193" s="93"/>
      <c r="U193" s="92"/>
      <c r="V193" s="94"/>
    </row>
    <row r="194" spans="19:22" ht="12.5">
      <c r="S194" s="92"/>
      <c r="T194" s="93"/>
      <c r="U194" s="92"/>
      <c r="V194" s="94"/>
    </row>
    <row r="195" spans="19:22" ht="12.5">
      <c r="S195" s="92"/>
      <c r="T195" s="93"/>
      <c r="U195" s="92"/>
      <c r="V195" s="94"/>
    </row>
    <row r="196" spans="19:22" ht="12.5">
      <c r="S196" s="92"/>
      <c r="T196" s="93"/>
      <c r="U196" s="92"/>
      <c r="V196" s="94"/>
    </row>
    <row r="197" spans="19:22" ht="12.5">
      <c r="S197" s="92"/>
      <c r="T197" s="93"/>
      <c r="U197" s="92"/>
      <c r="V197" s="94"/>
    </row>
    <row r="198" spans="19:22" ht="12.5">
      <c r="S198" s="92"/>
      <c r="T198" s="93"/>
      <c r="U198" s="92"/>
      <c r="V198" s="94"/>
    </row>
    <row r="199" spans="19:22" ht="12.5">
      <c r="S199" s="92"/>
      <c r="T199" s="93"/>
      <c r="U199" s="92"/>
      <c r="V199" s="94"/>
    </row>
    <row r="200" spans="19:22" ht="12.5">
      <c r="S200" s="92"/>
      <c r="T200" s="93"/>
      <c r="U200" s="92"/>
      <c r="V200" s="94"/>
    </row>
    <row r="201" spans="19:22" ht="12.5">
      <c r="S201" s="92"/>
      <c r="T201" s="93"/>
      <c r="U201" s="92"/>
      <c r="V201" s="94"/>
    </row>
    <row r="202" spans="19:22" ht="12.5">
      <c r="S202" s="92"/>
      <c r="T202" s="93"/>
      <c r="U202" s="92"/>
      <c r="V202" s="94"/>
    </row>
    <row r="203" spans="19:22" ht="12.5">
      <c r="S203" s="92"/>
      <c r="T203" s="93"/>
      <c r="U203" s="92"/>
      <c r="V203" s="94"/>
    </row>
    <row r="204" spans="19:22" ht="12.5">
      <c r="S204" s="92"/>
      <c r="T204" s="93"/>
      <c r="U204" s="92"/>
      <c r="V204" s="94"/>
    </row>
    <row r="205" spans="19:22" ht="12.5">
      <c r="S205" s="92"/>
      <c r="T205" s="93"/>
      <c r="U205" s="92"/>
      <c r="V205" s="94"/>
    </row>
    <row r="206" spans="19:22" ht="12.5">
      <c r="S206" s="92"/>
      <c r="T206" s="93"/>
      <c r="U206" s="92"/>
      <c r="V206" s="94"/>
    </row>
    <row r="207" spans="19:22" ht="12.5">
      <c r="S207" s="92"/>
      <c r="T207" s="93"/>
      <c r="U207" s="92"/>
      <c r="V207" s="94"/>
    </row>
    <row r="208" spans="19:22" ht="12.5">
      <c r="S208" s="92"/>
      <c r="T208" s="93"/>
      <c r="U208" s="92"/>
      <c r="V208" s="94"/>
    </row>
    <row r="209" spans="19:22" ht="12.5">
      <c r="S209" s="92"/>
      <c r="T209" s="93"/>
      <c r="U209" s="92"/>
      <c r="V209" s="94"/>
    </row>
    <row r="210" spans="19:22" ht="12.5">
      <c r="S210" s="92"/>
      <c r="T210" s="93"/>
      <c r="U210" s="92"/>
      <c r="V210" s="94"/>
    </row>
    <row r="211" spans="19:22" ht="12.5">
      <c r="S211" s="92"/>
      <c r="T211" s="93"/>
      <c r="U211" s="92"/>
      <c r="V211" s="94"/>
    </row>
    <row r="212" spans="19:22" ht="12.5">
      <c r="S212" s="92"/>
      <c r="T212" s="93"/>
      <c r="U212" s="92"/>
      <c r="V212" s="94"/>
    </row>
    <row r="213" spans="19:22" ht="12.5">
      <c r="S213" s="92"/>
      <c r="T213" s="93"/>
      <c r="U213" s="92"/>
      <c r="V213" s="94"/>
    </row>
    <row r="214" spans="19:22" ht="12.5">
      <c r="S214" s="92"/>
      <c r="T214" s="93"/>
      <c r="U214" s="92"/>
      <c r="V214" s="94"/>
    </row>
    <row r="215" spans="19:22" ht="12.5">
      <c r="S215" s="92"/>
      <c r="T215" s="93"/>
      <c r="U215" s="92"/>
      <c r="V215" s="94"/>
    </row>
    <row r="216" spans="19:22" ht="12.5">
      <c r="S216" s="92"/>
      <c r="T216" s="93"/>
      <c r="U216" s="92"/>
      <c r="V216" s="94"/>
    </row>
    <row r="217" spans="19:22" ht="12.5">
      <c r="S217" s="92"/>
      <c r="T217" s="93"/>
      <c r="U217" s="92"/>
      <c r="V217" s="94"/>
    </row>
    <row r="218" spans="19:22" ht="12.5">
      <c r="S218" s="92"/>
      <c r="T218" s="93"/>
      <c r="U218" s="92"/>
      <c r="V218" s="94"/>
    </row>
    <row r="219" spans="19:22" ht="12.5">
      <c r="S219" s="92"/>
      <c r="T219" s="93"/>
      <c r="U219" s="92"/>
      <c r="V219" s="94"/>
    </row>
    <row r="220" spans="19:22" ht="12.5">
      <c r="S220" s="92"/>
      <c r="T220" s="93"/>
      <c r="U220" s="92"/>
      <c r="V220" s="94"/>
    </row>
    <row r="221" spans="19:22" ht="12.5">
      <c r="S221" s="92"/>
      <c r="T221" s="93"/>
      <c r="U221" s="92"/>
      <c r="V221" s="94"/>
    </row>
    <row r="222" spans="19:22" ht="12.5">
      <c r="S222" s="92"/>
      <c r="T222" s="93"/>
      <c r="U222" s="92"/>
      <c r="V222" s="94"/>
    </row>
    <row r="223" spans="19:22" ht="12.5">
      <c r="S223" s="92"/>
      <c r="T223" s="93"/>
      <c r="U223" s="92"/>
      <c r="V223" s="94"/>
    </row>
    <row r="224" spans="19:22" ht="12.5">
      <c r="S224" s="92"/>
      <c r="T224" s="93"/>
      <c r="U224" s="92"/>
      <c r="V224" s="94"/>
    </row>
    <row r="225" spans="19:22" ht="12.5">
      <c r="S225" s="92"/>
      <c r="T225" s="93"/>
      <c r="U225" s="92"/>
      <c r="V225" s="94"/>
    </row>
    <row r="226" spans="19:22" ht="12.5">
      <c r="S226" s="92"/>
      <c r="T226" s="93"/>
      <c r="U226" s="92"/>
      <c r="V226" s="94"/>
    </row>
    <row r="227" spans="19:22" ht="12.5">
      <c r="S227" s="92"/>
      <c r="T227" s="93"/>
      <c r="U227" s="92"/>
      <c r="V227" s="94"/>
    </row>
    <row r="228" spans="19:22" ht="12.5">
      <c r="S228" s="92"/>
      <c r="T228" s="93"/>
      <c r="U228" s="92"/>
      <c r="V228" s="94"/>
    </row>
    <row r="229" spans="19:22" ht="12.5">
      <c r="S229" s="92"/>
      <c r="T229" s="93"/>
      <c r="U229" s="92"/>
      <c r="V229" s="94"/>
    </row>
    <row r="230" spans="19:22" ht="12.5">
      <c r="S230" s="92"/>
      <c r="T230" s="93"/>
      <c r="U230" s="92"/>
      <c r="V230" s="94"/>
    </row>
    <row r="231" spans="19:22" ht="12.5">
      <c r="S231" s="92"/>
      <c r="T231" s="93"/>
      <c r="U231" s="92"/>
      <c r="V231" s="94"/>
    </row>
    <row r="232" spans="19:22" ht="12.5">
      <c r="S232" s="92"/>
      <c r="T232" s="93"/>
      <c r="U232" s="92"/>
      <c r="V232" s="94"/>
    </row>
    <row r="233" spans="19:22" ht="12.5">
      <c r="S233" s="92"/>
      <c r="T233" s="93"/>
      <c r="U233" s="92"/>
      <c r="V233" s="94"/>
    </row>
    <row r="234" spans="19:22" ht="12.5">
      <c r="S234" s="92"/>
      <c r="T234" s="93"/>
      <c r="U234" s="92"/>
      <c r="V234" s="94"/>
    </row>
    <row r="235" spans="19:22" ht="12.5">
      <c r="S235" s="92"/>
      <c r="T235" s="93"/>
      <c r="U235" s="92"/>
      <c r="V235" s="94"/>
    </row>
    <row r="236" spans="19:22" ht="12.5">
      <c r="S236" s="92"/>
      <c r="T236" s="93"/>
      <c r="U236" s="92"/>
      <c r="V236" s="94"/>
    </row>
    <row r="237" spans="19:22" ht="12.5">
      <c r="S237" s="92"/>
      <c r="T237" s="93"/>
      <c r="U237" s="92"/>
      <c r="V237" s="94"/>
    </row>
    <row r="238" spans="19:22" ht="12.5">
      <c r="S238" s="92"/>
      <c r="T238" s="93"/>
      <c r="U238" s="92"/>
      <c r="V238" s="94"/>
    </row>
    <row r="239" spans="19:22" ht="12.5">
      <c r="S239" s="92"/>
      <c r="T239" s="93"/>
      <c r="U239" s="92"/>
      <c r="V239" s="94"/>
    </row>
    <row r="240" spans="19:22" ht="12.5">
      <c r="S240" s="92"/>
      <c r="T240" s="93"/>
      <c r="U240" s="92"/>
      <c r="V240" s="94"/>
    </row>
    <row r="241" spans="19:22" ht="12.5">
      <c r="S241" s="92"/>
      <c r="T241" s="93"/>
      <c r="U241" s="92"/>
      <c r="V241" s="94"/>
    </row>
    <row r="242" spans="19:22" ht="12.5">
      <c r="S242" s="92"/>
      <c r="T242" s="93"/>
      <c r="U242" s="92"/>
      <c r="V242" s="94"/>
    </row>
    <row r="243" spans="19:22" ht="12.5">
      <c r="S243" s="92"/>
      <c r="T243" s="93"/>
      <c r="U243" s="92"/>
      <c r="V243" s="94"/>
    </row>
    <row r="244" spans="19:22" ht="12.5">
      <c r="S244" s="92"/>
      <c r="T244" s="93"/>
      <c r="U244" s="92"/>
      <c r="V244" s="94"/>
    </row>
    <row r="245" spans="19:22" ht="12.5">
      <c r="S245" s="92"/>
      <c r="T245" s="93"/>
      <c r="U245" s="92"/>
      <c r="V245" s="94"/>
    </row>
    <row r="246" spans="19:22" ht="12.5">
      <c r="S246" s="92"/>
      <c r="T246" s="93"/>
      <c r="U246" s="92"/>
      <c r="V246" s="94"/>
    </row>
    <row r="247" spans="19:22" ht="12.5">
      <c r="S247" s="92"/>
      <c r="T247" s="93"/>
      <c r="U247" s="92"/>
      <c r="V247" s="94"/>
    </row>
    <row r="248" spans="19:22" ht="12.5">
      <c r="S248" s="92"/>
      <c r="T248" s="93"/>
      <c r="U248" s="92"/>
      <c r="V248" s="94"/>
    </row>
    <row r="249" spans="19:22" ht="12.5">
      <c r="S249" s="92"/>
      <c r="T249" s="93"/>
      <c r="U249" s="92"/>
      <c r="V249" s="94"/>
    </row>
    <row r="250" spans="19:22" ht="12.5">
      <c r="S250" s="92"/>
      <c r="T250" s="93"/>
      <c r="U250" s="92"/>
      <c r="V250" s="94"/>
    </row>
    <row r="251" spans="19:22" ht="12.5">
      <c r="S251" s="92"/>
      <c r="T251" s="93"/>
      <c r="U251" s="92"/>
      <c r="V251" s="94"/>
    </row>
    <row r="252" spans="19:22" ht="12.5">
      <c r="S252" s="92"/>
      <c r="T252" s="93"/>
      <c r="U252" s="92"/>
      <c r="V252" s="94"/>
    </row>
    <row r="253" spans="19:22" ht="12.5">
      <c r="S253" s="92"/>
      <c r="T253" s="93"/>
      <c r="U253" s="92"/>
      <c r="V253" s="94"/>
    </row>
    <row r="254" spans="19:22" ht="12.5">
      <c r="S254" s="92"/>
      <c r="T254" s="93"/>
      <c r="U254" s="92"/>
      <c r="V254" s="94"/>
    </row>
    <row r="255" spans="19:22" ht="12.5">
      <c r="S255" s="92"/>
      <c r="T255" s="93"/>
      <c r="U255" s="92"/>
      <c r="V255" s="94"/>
    </row>
    <row r="256" spans="19:22" ht="12.5">
      <c r="S256" s="92"/>
      <c r="T256" s="93"/>
      <c r="U256" s="92"/>
      <c r="V256" s="94"/>
    </row>
    <row r="257" spans="19:22" ht="12.5">
      <c r="S257" s="92"/>
      <c r="T257" s="93"/>
      <c r="U257" s="92"/>
      <c r="V257" s="94"/>
    </row>
    <row r="258" spans="19:22" ht="12.5">
      <c r="S258" s="92"/>
      <c r="T258" s="93"/>
      <c r="U258" s="92"/>
      <c r="V258" s="94"/>
    </row>
    <row r="259" spans="19:22" ht="12.5">
      <c r="S259" s="92"/>
      <c r="T259" s="93"/>
      <c r="U259" s="92"/>
      <c r="V259" s="94"/>
    </row>
    <row r="260" spans="19:22" ht="12.5">
      <c r="S260" s="92"/>
      <c r="T260" s="93"/>
      <c r="U260" s="92"/>
      <c r="V260" s="94"/>
    </row>
    <row r="261" spans="19:22" ht="12.5">
      <c r="S261" s="92"/>
      <c r="T261" s="93"/>
      <c r="U261" s="92"/>
      <c r="V261" s="94"/>
    </row>
    <row r="262" spans="19:22" ht="12.5">
      <c r="S262" s="92"/>
      <c r="T262" s="93"/>
      <c r="U262" s="92"/>
      <c r="V262" s="94"/>
    </row>
    <row r="263" spans="19:22" ht="12.5">
      <c r="S263" s="92"/>
      <c r="T263" s="93"/>
      <c r="U263" s="92"/>
      <c r="V263" s="94"/>
    </row>
    <row r="264" spans="19:22" ht="12.5">
      <c r="S264" s="92"/>
      <c r="T264" s="93"/>
      <c r="U264" s="92"/>
      <c r="V264" s="94"/>
    </row>
    <row r="265" spans="19:22" ht="12.5">
      <c r="S265" s="92"/>
      <c r="T265" s="93"/>
      <c r="U265" s="92"/>
      <c r="V265" s="94"/>
    </row>
    <row r="266" spans="19:22" ht="12.5">
      <c r="S266" s="92"/>
      <c r="T266" s="93"/>
      <c r="U266" s="92"/>
      <c r="V266" s="94"/>
    </row>
    <row r="267" spans="19:22" ht="12.5">
      <c r="S267" s="92"/>
      <c r="T267" s="93"/>
      <c r="U267" s="92"/>
      <c r="V267" s="94"/>
    </row>
    <row r="268" spans="19:22" ht="12.5">
      <c r="S268" s="92"/>
      <c r="T268" s="93"/>
      <c r="U268" s="92"/>
      <c r="V268" s="94"/>
    </row>
    <row r="269" spans="19:22" ht="12.5">
      <c r="S269" s="92"/>
      <c r="T269" s="93"/>
      <c r="U269" s="92"/>
      <c r="V269" s="94"/>
    </row>
    <row r="270" spans="19:22" ht="12.5">
      <c r="S270" s="92"/>
      <c r="T270" s="93"/>
      <c r="U270" s="92"/>
      <c r="V270" s="94"/>
    </row>
    <row r="271" spans="19:22" ht="12.5">
      <c r="S271" s="92"/>
      <c r="T271" s="93"/>
      <c r="U271" s="92"/>
      <c r="V271" s="94"/>
    </row>
    <row r="272" spans="19:22" ht="12.5">
      <c r="S272" s="92"/>
      <c r="T272" s="93"/>
      <c r="U272" s="92"/>
      <c r="V272" s="94"/>
    </row>
    <row r="273" spans="19:22" ht="12.5">
      <c r="S273" s="92"/>
      <c r="T273" s="93"/>
      <c r="U273" s="92"/>
      <c r="V273" s="94"/>
    </row>
    <row r="274" spans="19:22" ht="12.5">
      <c r="S274" s="92"/>
      <c r="T274" s="93"/>
      <c r="U274" s="92"/>
      <c r="V274" s="94"/>
    </row>
    <row r="275" spans="19:22" ht="12.5">
      <c r="S275" s="92"/>
      <c r="T275" s="93"/>
      <c r="U275" s="92"/>
      <c r="V275" s="94"/>
    </row>
    <row r="276" spans="19:22" ht="12.5">
      <c r="S276" s="92"/>
      <c r="T276" s="93"/>
      <c r="U276" s="92"/>
      <c r="V276" s="94"/>
    </row>
    <row r="277" spans="19:22" ht="12.5">
      <c r="S277" s="92"/>
      <c r="T277" s="93"/>
      <c r="U277" s="92"/>
      <c r="V277" s="94"/>
    </row>
    <row r="278" spans="19:22" ht="12.5">
      <c r="S278" s="92"/>
      <c r="T278" s="93"/>
      <c r="U278" s="92"/>
      <c r="V278" s="94"/>
    </row>
    <row r="279" spans="19:22" ht="12.5">
      <c r="S279" s="92"/>
      <c r="T279" s="93"/>
      <c r="U279" s="92"/>
      <c r="V279" s="94"/>
    </row>
    <row r="280" spans="19:22" ht="12.5">
      <c r="S280" s="92"/>
      <c r="T280" s="93"/>
      <c r="U280" s="92"/>
      <c r="V280" s="94"/>
    </row>
    <row r="281" spans="19:22" ht="12.5">
      <c r="S281" s="92"/>
      <c r="T281" s="93"/>
      <c r="U281" s="92"/>
      <c r="V281" s="94"/>
    </row>
    <row r="282" spans="19:22" ht="12.5">
      <c r="S282" s="92"/>
      <c r="T282" s="93"/>
      <c r="U282" s="92"/>
      <c r="V282" s="94"/>
    </row>
    <row r="283" spans="19:22" ht="12.5">
      <c r="S283" s="92"/>
      <c r="T283" s="93"/>
      <c r="U283" s="92"/>
      <c r="V283" s="94"/>
    </row>
    <row r="284" spans="19:22" ht="12.5">
      <c r="S284" s="92"/>
      <c r="T284" s="93"/>
      <c r="U284" s="92"/>
      <c r="V284" s="94"/>
    </row>
    <row r="285" spans="19:22" ht="12.5">
      <c r="S285" s="92"/>
      <c r="T285" s="93"/>
      <c r="U285" s="92"/>
      <c r="V285" s="94"/>
    </row>
    <row r="286" spans="19:22" ht="12.5">
      <c r="S286" s="92"/>
      <c r="T286" s="93"/>
      <c r="U286" s="92"/>
      <c r="V286" s="94"/>
    </row>
    <row r="287" spans="19:22" ht="12.5">
      <c r="S287" s="92"/>
      <c r="T287" s="93"/>
      <c r="U287" s="92"/>
      <c r="V287" s="94"/>
    </row>
    <row r="288" spans="19:22" ht="12.5">
      <c r="S288" s="92"/>
      <c r="T288" s="93"/>
      <c r="U288" s="92"/>
      <c r="V288" s="94"/>
    </row>
    <row r="289" spans="19:22" ht="12.5">
      <c r="S289" s="92"/>
      <c r="T289" s="93"/>
      <c r="U289" s="92"/>
      <c r="V289" s="94"/>
    </row>
    <row r="290" spans="19:22" ht="12.5">
      <c r="S290" s="92"/>
      <c r="T290" s="93"/>
      <c r="U290" s="92"/>
      <c r="V290" s="94"/>
    </row>
    <row r="291" spans="19:22" ht="12.5">
      <c r="S291" s="92"/>
      <c r="T291" s="93"/>
      <c r="U291" s="92"/>
      <c r="V291" s="94"/>
    </row>
    <row r="292" spans="19:22" ht="12.5">
      <c r="S292" s="92"/>
      <c r="T292" s="93"/>
      <c r="U292" s="92"/>
      <c r="V292" s="94"/>
    </row>
    <row r="293" spans="19:22" ht="12.5">
      <c r="S293" s="92"/>
      <c r="T293" s="93"/>
      <c r="U293" s="92"/>
      <c r="V293" s="94"/>
    </row>
    <row r="294" spans="19:22" ht="12.5">
      <c r="S294" s="92"/>
      <c r="T294" s="93"/>
      <c r="U294" s="92"/>
      <c r="V294" s="94"/>
    </row>
    <row r="295" spans="19:22" ht="12.5">
      <c r="S295" s="92"/>
      <c r="T295" s="93"/>
      <c r="U295" s="92"/>
      <c r="V295" s="94"/>
    </row>
    <row r="296" spans="19:22" ht="12.5">
      <c r="S296" s="92"/>
      <c r="T296" s="93"/>
      <c r="U296" s="92"/>
      <c r="V296" s="94"/>
    </row>
    <row r="297" spans="19:22" ht="12.5">
      <c r="S297" s="92"/>
      <c r="T297" s="93"/>
      <c r="U297" s="92"/>
      <c r="V297" s="94"/>
    </row>
    <row r="298" spans="19:22" ht="12.5">
      <c r="S298" s="92"/>
      <c r="T298" s="93"/>
      <c r="U298" s="92"/>
      <c r="V298" s="94"/>
    </row>
    <row r="299" spans="19:22" ht="12.5">
      <c r="S299" s="92"/>
      <c r="T299" s="93"/>
      <c r="U299" s="92"/>
      <c r="V299" s="94"/>
    </row>
    <row r="300" spans="19:22" ht="12.5">
      <c r="S300" s="92"/>
      <c r="T300" s="93"/>
      <c r="U300" s="92"/>
      <c r="V300" s="94"/>
    </row>
    <row r="301" spans="19:22" ht="12.5">
      <c r="S301" s="92"/>
      <c r="T301" s="93"/>
      <c r="U301" s="92"/>
      <c r="V301" s="94"/>
    </row>
    <row r="302" spans="19:22" ht="12.5">
      <c r="S302" s="92"/>
      <c r="T302" s="93"/>
      <c r="U302" s="92"/>
      <c r="V302" s="94"/>
    </row>
    <row r="303" spans="19:22" ht="12.5">
      <c r="S303" s="92"/>
      <c r="T303" s="93"/>
      <c r="U303" s="92"/>
      <c r="V303" s="94"/>
    </row>
    <row r="304" spans="19:22" ht="12.5">
      <c r="S304" s="92"/>
      <c r="T304" s="93"/>
      <c r="U304" s="92"/>
      <c r="V304" s="94"/>
    </row>
    <row r="305" spans="19:22" ht="12.5">
      <c r="S305" s="92"/>
      <c r="T305" s="93"/>
      <c r="U305" s="92"/>
      <c r="V305" s="94"/>
    </row>
    <row r="306" spans="19:22" ht="12.5">
      <c r="S306" s="92"/>
      <c r="T306" s="93"/>
      <c r="U306" s="92"/>
      <c r="V306" s="94"/>
    </row>
    <row r="307" spans="19:22" ht="12.5">
      <c r="S307" s="92"/>
      <c r="T307" s="93"/>
      <c r="U307" s="92"/>
      <c r="V307" s="94"/>
    </row>
    <row r="308" spans="19:22" ht="12.5">
      <c r="S308" s="92"/>
      <c r="T308" s="93"/>
      <c r="U308" s="92"/>
      <c r="V308" s="94"/>
    </row>
    <row r="309" spans="19:22" ht="12.5">
      <c r="S309" s="92"/>
      <c r="T309" s="93"/>
      <c r="U309" s="92"/>
      <c r="V309" s="94"/>
    </row>
    <row r="310" spans="19:22" ht="12.5">
      <c r="S310" s="92"/>
      <c r="T310" s="93"/>
      <c r="U310" s="92"/>
      <c r="V310" s="94"/>
    </row>
    <row r="311" spans="19:22" ht="12.5">
      <c r="S311" s="92"/>
      <c r="T311" s="93"/>
      <c r="U311" s="92"/>
      <c r="V311" s="94"/>
    </row>
    <row r="312" spans="19:22" ht="12.5">
      <c r="S312" s="92"/>
      <c r="T312" s="93"/>
      <c r="U312" s="92"/>
      <c r="V312" s="94"/>
    </row>
    <row r="313" spans="19:22" ht="12.5">
      <c r="S313" s="92"/>
      <c r="T313" s="93"/>
      <c r="U313" s="92"/>
      <c r="V313" s="94"/>
    </row>
    <row r="314" spans="19:22" ht="12.5">
      <c r="S314" s="92"/>
      <c r="T314" s="93"/>
      <c r="U314" s="92"/>
      <c r="V314" s="94"/>
    </row>
    <row r="315" spans="19:22" ht="12.5">
      <c r="S315" s="92"/>
      <c r="T315" s="93"/>
      <c r="U315" s="92"/>
      <c r="V315" s="94"/>
    </row>
    <row r="316" spans="19:22" ht="12.5">
      <c r="S316" s="92"/>
      <c r="T316" s="93"/>
      <c r="U316" s="92"/>
      <c r="V316" s="94"/>
    </row>
    <row r="317" spans="19:22" ht="12.5">
      <c r="S317" s="92"/>
      <c r="T317" s="93"/>
      <c r="U317" s="92"/>
      <c r="V317" s="94"/>
    </row>
    <row r="318" spans="19:22" ht="12.5">
      <c r="S318" s="92"/>
      <c r="T318" s="93"/>
      <c r="U318" s="92"/>
      <c r="V318" s="94"/>
    </row>
    <row r="319" spans="19:22" ht="12.5">
      <c r="S319" s="92"/>
      <c r="T319" s="93"/>
      <c r="U319" s="92"/>
      <c r="V319" s="94"/>
    </row>
    <row r="320" spans="19:22" ht="12.5">
      <c r="S320" s="92"/>
      <c r="T320" s="93"/>
      <c r="U320" s="92"/>
      <c r="V320" s="94"/>
    </row>
    <row r="321" spans="19:22" ht="12.5">
      <c r="S321" s="92"/>
      <c r="T321" s="93"/>
      <c r="U321" s="92"/>
      <c r="V321" s="94"/>
    </row>
    <row r="322" spans="19:22" ht="12.5">
      <c r="S322" s="92"/>
      <c r="T322" s="93"/>
      <c r="U322" s="92"/>
      <c r="V322" s="94"/>
    </row>
    <row r="323" spans="19:22" ht="12.5">
      <c r="S323" s="92"/>
      <c r="T323" s="93"/>
      <c r="U323" s="92"/>
      <c r="V323" s="94"/>
    </row>
    <row r="324" spans="19:22" ht="12.5">
      <c r="S324" s="92"/>
      <c r="T324" s="93"/>
      <c r="U324" s="92"/>
      <c r="V324" s="94"/>
    </row>
    <row r="325" spans="19:22" ht="12.5">
      <c r="S325" s="92"/>
      <c r="T325" s="93"/>
      <c r="U325" s="92"/>
      <c r="V325" s="94"/>
    </row>
    <row r="326" spans="19:22" ht="12.5">
      <c r="S326" s="92"/>
      <c r="T326" s="93"/>
      <c r="U326" s="92"/>
      <c r="V326" s="94"/>
    </row>
    <row r="327" spans="19:22" ht="12.5">
      <c r="S327" s="92"/>
      <c r="T327" s="93"/>
      <c r="U327" s="92"/>
      <c r="V327" s="94"/>
    </row>
    <row r="328" spans="19:22" ht="12.5">
      <c r="S328" s="92"/>
      <c r="T328" s="93"/>
      <c r="U328" s="92"/>
      <c r="V328" s="94"/>
    </row>
    <row r="329" spans="19:22" ht="12.5">
      <c r="S329" s="92"/>
      <c r="T329" s="93"/>
      <c r="U329" s="92"/>
      <c r="V329" s="94"/>
    </row>
    <row r="330" spans="19:22" ht="12.5">
      <c r="S330" s="92"/>
      <c r="T330" s="93"/>
      <c r="U330" s="92"/>
      <c r="V330" s="94"/>
    </row>
    <row r="331" spans="19:22" ht="12.5">
      <c r="S331" s="92"/>
      <c r="T331" s="93"/>
      <c r="U331" s="92"/>
      <c r="V331" s="94"/>
    </row>
    <row r="332" spans="19:22" ht="12.5">
      <c r="S332" s="92"/>
      <c r="T332" s="93"/>
      <c r="U332" s="92"/>
      <c r="V332" s="94"/>
    </row>
    <row r="333" spans="19:22" ht="12.5">
      <c r="S333" s="92"/>
      <c r="T333" s="93"/>
      <c r="U333" s="92"/>
      <c r="V333" s="94"/>
    </row>
    <row r="334" spans="19:22" ht="12.5">
      <c r="S334" s="92"/>
      <c r="T334" s="93"/>
      <c r="U334" s="92"/>
      <c r="V334" s="94"/>
    </row>
    <row r="335" spans="19:22" ht="12.5">
      <c r="S335" s="92"/>
      <c r="T335" s="93"/>
      <c r="U335" s="92"/>
      <c r="V335" s="94"/>
    </row>
    <row r="336" spans="19:22" ht="12.5">
      <c r="S336" s="92"/>
      <c r="T336" s="93"/>
      <c r="U336" s="92"/>
      <c r="V336" s="94"/>
    </row>
    <row r="337" spans="19:22" ht="12.5">
      <c r="S337" s="92"/>
      <c r="T337" s="93"/>
      <c r="U337" s="92"/>
      <c r="V337" s="94"/>
    </row>
    <row r="338" spans="19:22" ht="12.5">
      <c r="S338" s="92"/>
      <c r="T338" s="93"/>
      <c r="U338" s="92"/>
      <c r="V338" s="94"/>
    </row>
    <row r="339" spans="19:22" ht="12.5">
      <c r="S339" s="92"/>
      <c r="T339" s="93"/>
      <c r="U339" s="92"/>
      <c r="V339" s="94"/>
    </row>
    <row r="340" spans="19:22" ht="12.5">
      <c r="S340" s="92"/>
      <c r="T340" s="93"/>
      <c r="U340" s="92"/>
      <c r="V340" s="94"/>
    </row>
    <row r="341" spans="19:22" ht="12.5">
      <c r="S341" s="92"/>
      <c r="T341" s="93"/>
      <c r="U341" s="92"/>
      <c r="V341" s="94"/>
    </row>
    <row r="342" spans="19:22" ht="12.5">
      <c r="S342" s="92"/>
      <c r="T342" s="93"/>
      <c r="U342" s="92"/>
      <c r="V342" s="94"/>
    </row>
    <row r="343" spans="19:22" ht="12.5">
      <c r="S343" s="92"/>
      <c r="T343" s="93"/>
      <c r="U343" s="92"/>
      <c r="V343" s="94"/>
    </row>
    <row r="344" spans="19:22" ht="12.5">
      <c r="S344" s="92"/>
      <c r="T344" s="93"/>
      <c r="U344" s="92"/>
      <c r="V344" s="94"/>
    </row>
    <row r="345" spans="19:22" ht="12.5">
      <c r="S345" s="92"/>
      <c r="T345" s="93"/>
      <c r="U345" s="92"/>
      <c r="V345" s="94"/>
    </row>
    <row r="346" spans="19:22" ht="12.5">
      <c r="S346" s="92"/>
      <c r="T346" s="93"/>
      <c r="U346" s="92"/>
      <c r="V346" s="94"/>
    </row>
    <row r="347" spans="19:22" ht="12.5">
      <c r="S347" s="92"/>
      <c r="T347" s="93"/>
      <c r="U347" s="92"/>
      <c r="V347" s="94"/>
    </row>
    <row r="348" spans="19:22" ht="12.5">
      <c r="S348" s="92"/>
      <c r="T348" s="93"/>
      <c r="U348" s="92"/>
      <c r="V348" s="94"/>
    </row>
    <row r="349" spans="19:22" ht="12.5">
      <c r="S349" s="92"/>
      <c r="T349" s="93"/>
      <c r="U349" s="92"/>
      <c r="V349" s="94"/>
    </row>
    <row r="350" spans="19:22" ht="12.5">
      <c r="S350" s="92"/>
      <c r="T350" s="93"/>
      <c r="U350" s="92"/>
      <c r="V350" s="94"/>
    </row>
    <row r="351" spans="19:22" ht="12.5">
      <c r="S351" s="92"/>
      <c r="T351" s="93"/>
      <c r="U351" s="92"/>
      <c r="V351" s="94"/>
    </row>
    <row r="352" spans="19:22" ht="12.5">
      <c r="S352" s="92"/>
      <c r="T352" s="93"/>
      <c r="U352" s="92"/>
      <c r="V352" s="94"/>
    </row>
    <row r="353" spans="19:22" ht="12.5">
      <c r="S353" s="92"/>
      <c r="T353" s="93"/>
      <c r="U353" s="92"/>
      <c r="V353" s="94"/>
    </row>
    <row r="354" spans="19:22" ht="12.5">
      <c r="S354" s="92"/>
      <c r="T354" s="93"/>
      <c r="U354" s="92"/>
      <c r="V354" s="94"/>
    </row>
    <row r="355" spans="19:22" ht="12.5">
      <c r="S355" s="92"/>
      <c r="T355" s="93"/>
      <c r="U355" s="92"/>
      <c r="V355" s="94"/>
    </row>
    <row r="356" spans="19:22" ht="12.5">
      <c r="S356" s="92"/>
      <c r="T356" s="93"/>
      <c r="U356" s="92"/>
      <c r="V356" s="94"/>
    </row>
    <row r="357" spans="19:22" ht="12.5">
      <c r="S357" s="92"/>
      <c r="T357" s="93"/>
      <c r="U357" s="92"/>
      <c r="V357" s="94"/>
    </row>
    <row r="358" spans="19:22" ht="12.5">
      <c r="S358" s="92"/>
      <c r="T358" s="93"/>
      <c r="U358" s="92"/>
      <c r="V358" s="94"/>
    </row>
    <row r="359" spans="19:22" ht="12.5">
      <c r="S359" s="92"/>
      <c r="T359" s="93"/>
      <c r="U359" s="92"/>
      <c r="V359" s="94"/>
    </row>
    <row r="360" spans="19:22" ht="12.5">
      <c r="S360" s="92"/>
      <c r="T360" s="93"/>
      <c r="U360" s="92"/>
      <c r="V360" s="94"/>
    </row>
    <row r="361" spans="19:22" ht="12.5">
      <c r="S361" s="92"/>
      <c r="T361" s="93"/>
      <c r="U361" s="92"/>
      <c r="V361" s="94"/>
    </row>
    <row r="362" spans="19:22" ht="12.5">
      <c r="S362" s="92"/>
      <c r="T362" s="93"/>
      <c r="U362" s="92"/>
      <c r="V362" s="94"/>
    </row>
    <row r="363" spans="19:22" ht="12.5">
      <c r="S363" s="92"/>
      <c r="T363" s="93"/>
      <c r="U363" s="92"/>
      <c r="V363" s="94"/>
    </row>
    <row r="364" spans="19:22" ht="12.5">
      <c r="S364" s="92"/>
      <c r="T364" s="93"/>
      <c r="U364" s="92"/>
      <c r="V364" s="94"/>
    </row>
    <row r="365" spans="19:22" ht="12.5">
      <c r="S365" s="92"/>
      <c r="T365" s="93"/>
      <c r="U365" s="92"/>
      <c r="V365" s="94"/>
    </row>
    <row r="366" spans="19:22" ht="12.5">
      <c r="S366" s="92"/>
      <c r="T366" s="93"/>
      <c r="U366" s="92"/>
      <c r="V366" s="94"/>
    </row>
    <row r="367" spans="19:22" ht="12.5">
      <c r="S367" s="92"/>
      <c r="T367" s="93"/>
      <c r="U367" s="92"/>
      <c r="V367" s="94"/>
    </row>
    <row r="368" spans="19:22" ht="12.5">
      <c r="S368" s="92"/>
      <c r="T368" s="93"/>
      <c r="U368" s="92"/>
      <c r="V368" s="94"/>
    </row>
    <row r="369" spans="19:22" ht="12.5">
      <c r="S369" s="92"/>
      <c r="T369" s="93"/>
      <c r="U369" s="92"/>
      <c r="V369" s="94"/>
    </row>
    <row r="370" spans="19:22" ht="12.5">
      <c r="S370" s="92"/>
      <c r="T370" s="93"/>
      <c r="U370" s="92"/>
      <c r="V370" s="94"/>
    </row>
    <row r="371" spans="19:22" ht="12.5">
      <c r="S371" s="92"/>
      <c r="T371" s="93"/>
      <c r="U371" s="92"/>
      <c r="V371" s="94"/>
    </row>
    <row r="372" spans="19:22" ht="12.5">
      <c r="S372" s="92"/>
      <c r="T372" s="93"/>
      <c r="U372" s="92"/>
      <c r="V372" s="94"/>
    </row>
    <row r="373" spans="19:22" ht="12.5">
      <c r="S373" s="92"/>
      <c r="T373" s="93"/>
      <c r="U373" s="92"/>
      <c r="V373" s="94"/>
    </row>
    <row r="374" spans="19:22" ht="12.5">
      <c r="S374" s="92"/>
      <c r="T374" s="93"/>
      <c r="U374" s="92"/>
      <c r="V374" s="94"/>
    </row>
    <row r="375" spans="19:22" ht="12.5">
      <c r="S375" s="92"/>
      <c r="T375" s="93"/>
      <c r="U375" s="92"/>
      <c r="V375" s="94"/>
    </row>
    <row r="376" spans="19:22" ht="12.5">
      <c r="S376" s="92"/>
      <c r="T376" s="93"/>
      <c r="U376" s="92"/>
      <c r="V376" s="94"/>
    </row>
    <row r="377" spans="19:22" ht="12.5">
      <c r="S377" s="92"/>
      <c r="T377" s="93"/>
      <c r="U377" s="92"/>
      <c r="V377" s="94"/>
    </row>
    <row r="378" spans="19:22" ht="12.5">
      <c r="S378" s="92"/>
      <c r="T378" s="93"/>
      <c r="U378" s="92"/>
      <c r="V378" s="94"/>
    </row>
    <row r="379" spans="19:22" ht="12.5">
      <c r="S379" s="92"/>
      <c r="T379" s="93"/>
      <c r="U379" s="92"/>
      <c r="V379" s="94"/>
    </row>
    <row r="380" spans="19:22" ht="12.5">
      <c r="S380" s="92"/>
      <c r="T380" s="93"/>
      <c r="U380" s="92"/>
      <c r="V380" s="94"/>
    </row>
    <row r="381" spans="19:22" ht="12.5">
      <c r="S381" s="92"/>
      <c r="T381" s="93"/>
      <c r="U381" s="92"/>
      <c r="V381" s="94"/>
    </row>
    <row r="382" spans="19:22" ht="12.5">
      <c r="S382" s="92"/>
      <c r="T382" s="93"/>
      <c r="U382" s="92"/>
      <c r="V382" s="94"/>
    </row>
    <row r="383" spans="19:22" ht="12.5">
      <c r="S383" s="92"/>
      <c r="T383" s="93"/>
      <c r="U383" s="92"/>
      <c r="V383" s="94"/>
    </row>
    <row r="384" spans="19:22" ht="12.5">
      <c r="S384" s="92"/>
      <c r="T384" s="93"/>
      <c r="U384" s="92"/>
      <c r="V384" s="94"/>
    </row>
    <row r="385" spans="19:22" ht="12.5">
      <c r="S385" s="92"/>
      <c r="T385" s="93"/>
      <c r="U385" s="92"/>
      <c r="V385" s="94"/>
    </row>
    <row r="386" spans="19:22" ht="12.5">
      <c r="S386" s="92"/>
      <c r="T386" s="93"/>
      <c r="U386" s="92"/>
      <c r="V386" s="94"/>
    </row>
    <row r="387" spans="19:22" ht="12.5">
      <c r="S387" s="92"/>
      <c r="T387" s="93"/>
      <c r="U387" s="92"/>
      <c r="V387" s="94"/>
    </row>
    <row r="388" spans="19:22" ht="12.5">
      <c r="S388" s="92"/>
      <c r="T388" s="93"/>
      <c r="U388" s="92"/>
      <c r="V388" s="94"/>
    </row>
    <row r="389" spans="19:22" ht="12.5">
      <c r="S389" s="92"/>
      <c r="T389" s="93"/>
      <c r="U389" s="92"/>
      <c r="V389" s="94"/>
    </row>
    <row r="390" spans="19:22" ht="12.5">
      <c r="S390" s="92"/>
      <c r="T390" s="93"/>
      <c r="U390" s="92"/>
      <c r="V390" s="94"/>
    </row>
    <row r="391" spans="19:22" ht="12.5">
      <c r="S391" s="92"/>
      <c r="T391" s="93"/>
      <c r="U391" s="92"/>
      <c r="V391" s="94"/>
    </row>
    <row r="392" spans="19:22" ht="12.5">
      <c r="S392" s="92"/>
      <c r="T392" s="93"/>
      <c r="U392" s="92"/>
      <c r="V392" s="94"/>
    </row>
    <row r="393" spans="19:22" ht="12.5">
      <c r="S393" s="92"/>
      <c r="T393" s="93"/>
      <c r="U393" s="92"/>
      <c r="V393" s="94"/>
    </row>
    <row r="394" spans="19:22" ht="12.5">
      <c r="S394" s="92"/>
      <c r="T394" s="93"/>
      <c r="U394" s="92"/>
      <c r="V394" s="94"/>
    </row>
    <row r="395" spans="19:22" ht="12.5">
      <c r="S395" s="92"/>
      <c r="T395" s="93"/>
      <c r="U395" s="92"/>
      <c r="V395" s="94"/>
    </row>
    <row r="396" spans="19:22" ht="12.5">
      <c r="S396" s="92"/>
      <c r="T396" s="93"/>
      <c r="U396" s="92"/>
      <c r="V396" s="94"/>
    </row>
    <row r="397" spans="19:22" ht="12.5">
      <c r="S397" s="92"/>
      <c r="T397" s="93"/>
      <c r="U397" s="92"/>
      <c r="V397" s="94"/>
    </row>
    <row r="398" spans="19:22" ht="12.5">
      <c r="S398" s="92"/>
      <c r="T398" s="93"/>
      <c r="U398" s="92"/>
      <c r="V398" s="94"/>
    </row>
    <row r="399" spans="19:22" ht="12.5">
      <c r="S399" s="92"/>
      <c r="T399" s="93"/>
      <c r="U399" s="92"/>
      <c r="V399" s="94"/>
    </row>
    <row r="400" spans="19:22" ht="12.5">
      <c r="S400" s="92"/>
      <c r="T400" s="93"/>
      <c r="U400" s="92"/>
      <c r="V400" s="94"/>
    </row>
    <row r="401" spans="19:22" ht="12.5">
      <c r="S401" s="92"/>
      <c r="T401" s="93"/>
      <c r="U401" s="92"/>
      <c r="V401" s="94"/>
    </row>
    <row r="402" spans="19:22" ht="12.5">
      <c r="S402" s="92"/>
      <c r="T402" s="93"/>
      <c r="U402" s="92"/>
      <c r="V402" s="94"/>
    </row>
    <row r="403" spans="19:22" ht="12.5">
      <c r="S403" s="92"/>
      <c r="T403" s="93"/>
      <c r="U403" s="92"/>
      <c r="V403" s="94"/>
    </row>
    <row r="404" spans="19:22" ht="12.5">
      <c r="S404" s="92"/>
      <c r="T404" s="93"/>
      <c r="U404" s="92"/>
      <c r="V404" s="94"/>
    </row>
    <row r="405" spans="19:22" ht="12.5">
      <c r="S405" s="92"/>
      <c r="T405" s="93"/>
      <c r="U405" s="92"/>
      <c r="V405" s="94"/>
    </row>
    <row r="406" spans="19:22" ht="12.5">
      <c r="S406" s="92"/>
      <c r="T406" s="93"/>
      <c r="U406" s="92"/>
      <c r="V406" s="94"/>
    </row>
    <row r="407" spans="19:22" ht="12.5">
      <c r="S407" s="92"/>
      <c r="T407" s="93"/>
      <c r="U407" s="92"/>
      <c r="V407" s="94"/>
    </row>
    <row r="408" spans="19:22" ht="12.5">
      <c r="S408" s="92"/>
      <c r="T408" s="93"/>
      <c r="U408" s="92"/>
      <c r="V408" s="94"/>
    </row>
    <row r="409" spans="19:22" ht="12.5">
      <c r="S409" s="92"/>
      <c r="T409" s="93"/>
      <c r="U409" s="92"/>
      <c r="V409" s="94"/>
    </row>
    <row r="410" spans="19:22" ht="12.5">
      <c r="S410" s="92"/>
      <c r="T410" s="93"/>
      <c r="U410" s="92"/>
      <c r="V410" s="94"/>
    </row>
    <row r="411" spans="19:22" ht="12.5">
      <c r="S411" s="92"/>
      <c r="T411" s="93"/>
      <c r="U411" s="92"/>
      <c r="V411" s="94"/>
    </row>
    <row r="412" spans="19:22" ht="12.5">
      <c r="S412" s="92"/>
      <c r="T412" s="93"/>
      <c r="U412" s="92"/>
      <c r="V412" s="94"/>
    </row>
    <row r="413" spans="19:22" ht="12.5">
      <c r="S413" s="92"/>
      <c r="T413" s="93"/>
      <c r="U413" s="92"/>
      <c r="V413" s="94"/>
    </row>
    <row r="414" spans="19:22" ht="12.5">
      <c r="S414" s="92"/>
      <c r="T414" s="93"/>
      <c r="U414" s="92"/>
      <c r="V414" s="94"/>
    </row>
    <row r="415" spans="19:22" ht="12.5">
      <c r="S415" s="92"/>
      <c r="T415" s="93"/>
      <c r="U415" s="92"/>
      <c r="V415" s="94"/>
    </row>
    <row r="416" spans="19:22" ht="12.5">
      <c r="S416" s="92"/>
      <c r="T416" s="93"/>
      <c r="U416" s="92"/>
      <c r="V416" s="94"/>
    </row>
    <row r="417" spans="19:22" ht="12.5">
      <c r="S417" s="92"/>
      <c r="T417" s="93"/>
      <c r="U417" s="92"/>
      <c r="V417" s="94"/>
    </row>
    <row r="418" spans="19:22" ht="12.5">
      <c r="S418" s="92"/>
      <c r="T418" s="93"/>
      <c r="U418" s="92"/>
      <c r="V418" s="94"/>
    </row>
    <row r="419" spans="19:22" ht="12.5">
      <c r="S419" s="92"/>
      <c r="T419" s="93"/>
      <c r="U419" s="92"/>
      <c r="V419" s="94"/>
    </row>
    <row r="420" spans="19:22" ht="12.5">
      <c r="S420" s="92"/>
      <c r="T420" s="93"/>
      <c r="U420" s="92"/>
      <c r="V420" s="94"/>
    </row>
    <row r="421" spans="19:22" ht="12.5">
      <c r="S421" s="92"/>
      <c r="T421" s="93"/>
      <c r="U421" s="92"/>
      <c r="V421" s="94"/>
    </row>
    <row r="422" spans="19:22" ht="12.5">
      <c r="S422" s="92"/>
      <c r="T422" s="93"/>
      <c r="U422" s="92"/>
      <c r="V422" s="94"/>
    </row>
    <row r="423" spans="19:22" ht="12.5">
      <c r="S423" s="92"/>
      <c r="T423" s="93"/>
      <c r="U423" s="92"/>
      <c r="V423" s="94"/>
    </row>
    <row r="424" spans="19:22" ht="12.5">
      <c r="S424" s="92"/>
      <c r="T424" s="93"/>
      <c r="U424" s="92"/>
      <c r="V424" s="94"/>
    </row>
    <row r="425" spans="19:22" ht="12.5">
      <c r="S425" s="92"/>
      <c r="T425" s="93"/>
      <c r="U425" s="92"/>
      <c r="V425" s="94"/>
    </row>
    <row r="426" spans="19:22" ht="12.5">
      <c r="S426" s="92"/>
      <c r="T426" s="93"/>
      <c r="U426" s="92"/>
      <c r="V426" s="94"/>
    </row>
    <row r="427" spans="19:22" ht="12.5">
      <c r="S427" s="92"/>
      <c r="T427" s="93"/>
      <c r="U427" s="92"/>
      <c r="V427" s="94"/>
    </row>
    <row r="428" spans="19:22" ht="12.5">
      <c r="S428" s="92"/>
      <c r="T428" s="93"/>
      <c r="U428" s="92"/>
      <c r="V428" s="94"/>
    </row>
    <row r="429" spans="19:22" ht="12.5">
      <c r="S429" s="92"/>
      <c r="T429" s="93"/>
      <c r="U429" s="92"/>
      <c r="V429" s="94"/>
    </row>
    <row r="430" spans="19:22" ht="12.5">
      <c r="S430" s="92"/>
      <c r="T430" s="93"/>
      <c r="U430" s="92"/>
      <c r="V430" s="94"/>
    </row>
    <row r="431" spans="19:22" ht="12.5">
      <c r="S431" s="92"/>
      <c r="T431" s="93"/>
      <c r="U431" s="92"/>
      <c r="V431" s="94"/>
    </row>
    <row r="432" spans="19:22" ht="12.5">
      <c r="S432" s="92"/>
      <c r="T432" s="93"/>
      <c r="U432" s="92"/>
      <c r="V432" s="94"/>
    </row>
    <row r="433" spans="19:22" ht="12.5">
      <c r="S433" s="92"/>
      <c r="T433" s="93"/>
      <c r="U433" s="92"/>
      <c r="V433" s="94"/>
    </row>
    <row r="434" spans="19:22" ht="12.5">
      <c r="S434" s="92"/>
      <c r="T434" s="93"/>
      <c r="U434" s="92"/>
      <c r="V434" s="94"/>
    </row>
    <row r="435" spans="19:22" ht="12.5">
      <c r="S435" s="92"/>
      <c r="T435" s="93"/>
      <c r="U435" s="92"/>
      <c r="V435" s="94"/>
    </row>
    <row r="436" spans="19:22" ht="12.5">
      <c r="S436" s="92"/>
      <c r="T436" s="93"/>
      <c r="U436" s="92"/>
      <c r="V436" s="94"/>
    </row>
    <row r="437" spans="19:22" ht="12.5">
      <c r="S437" s="92"/>
      <c r="T437" s="93"/>
      <c r="U437" s="92"/>
      <c r="V437" s="94"/>
    </row>
    <row r="438" spans="19:22" ht="12.5">
      <c r="S438" s="92"/>
      <c r="T438" s="93"/>
      <c r="U438" s="92"/>
      <c r="V438" s="94"/>
    </row>
    <row r="439" spans="19:22" ht="12.5">
      <c r="S439" s="92"/>
      <c r="T439" s="93"/>
      <c r="U439" s="92"/>
      <c r="V439" s="94"/>
    </row>
    <row r="440" spans="19:22" ht="12.5">
      <c r="S440" s="92"/>
      <c r="T440" s="93"/>
      <c r="U440" s="92"/>
      <c r="V440" s="94"/>
    </row>
    <row r="441" spans="19:22" ht="12.5">
      <c r="S441" s="92"/>
      <c r="T441" s="93"/>
      <c r="U441" s="92"/>
      <c r="V441" s="94"/>
    </row>
    <row r="442" spans="19:22" ht="12.5">
      <c r="S442" s="92"/>
      <c r="T442" s="93"/>
      <c r="U442" s="92"/>
      <c r="V442" s="94"/>
    </row>
    <row r="443" spans="19:22" ht="12.5">
      <c r="S443" s="92"/>
      <c r="T443" s="93"/>
      <c r="U443" s="92"/>
      <c r="V443" s="94"/>
    </row>
    <row r="444" spans="19:22" ht="12.5">
      <c r="S444" s="92"/>
      <c r="T444" s="93"/>
      <c r="U444" s="92"/>
      <c r="V444" s="94"/>
    </row>
    <row r="445" spans="19:22" ht="12.5">
      <c r="S445" s="92"/>
      <c r="T445" s="93"/>
      <c r="U445" s="92"/>
      <c r="V445" s="94"/>
    </row>
    <row r="446" spans="19:22" ht="12.5">
      <c r="S446" s="92"/>
      <c r="T446" s="93"/>
      <c r="U446" s="92"/>
      <c r="V446" s="94"/>
    </row>
    <row r="447" spans="19:22" ht="12.5">
      <c r="S447" s="92"/>
      <c r="T447" s="93"/>
      <c r="U447" s="92"/>
      <c r="V447" s="94"/>
    </row>
    <row r="448" spans="19:22" ht="12.5">
      <c r="S448" s="92"/>
      <c r="T448" s="93"/>
      <c r="U448" s="92"/>
      <c r="V448" s="94"/>
    </row>
    <row r="449" spans="19:22" ht="12.5">
      <c r="S449" s="92"/>
      <c r="T449" s="93"/>
      <c r="U449" s="92"/>
      <c r="V449" s="94"/>
    </row>
    <row r="450" spans="19:22" ht="12.5">
      <c r="S450" s="92"/>
      <c r="T450" s="93"/>
      <c r="U450" s="92"/>
      <c r="V450" s="94"/>
    </row>
    <row r="451" spans="19:22" ht="12.5">
      <c r="S451" s="92"/>
      <c r="T451" s="93"/>
      <c r="U451" s="92"/>
      <c r="V451" s="94"/>
    </row>
    <row r="452" spans="19:22" ht="12.5">
      <c r="S452" s="92"/>
      <c r="T452" s="93"/>
      <c r="U452" s="92"/>
      <c r="V452" s="94"/>
    </row>
    <row r="453" spans="19:22" ht="12.5">
      <c r="S453" s="92"/>
      <c r="T453" s="93"/>
      <c r="U453" s="92"/>
      <c r="V453" s="94"/>
    </row>
    <row r="454" spans="19:22" ht="12.5">
      <c r="S454" s="92"/>
      <c r="T454" s="93"/>
      <c r="U454" s="92"/>
      <c r="V454" s="94"/>
    </row>
    <row r="455" spans="19:22" ht="12.5">
      <c r="S455" s="92"/>
      <c r="T455" s="93"/>
      <c r="U455" s="92"/>
      <c r="V455" s="94"/>
    </row>
    <row r="456" spans="19:22" ht="12.5">
      <c r="S456" s="92"/>
      <c r="T456" s="93"/>
      <c r="U456" s="92"/>
      <c r="V456" s="94"/>
    </row>
    <row r="457" spans="19:22" ht="12.5">
      <c r="S457" s="92"/>
      <c r="T457" s="93"/>
      <c r="U457" s="92"/>
      <c r="V457" s="94"/>
    </row>
    <row r="458" spans="19:22" ht="12.5">
      <c r="S458" s="92"/>
      <c r="T458" s="93"/>
      <c r="U458" s="92"/>
      <c r="V458" s="94"/>
    </row>
    <row r="459" spans="19:22" ht="12.5">
      <c r="S459" s="92"/>
      <c r="T459" s="93"/>
      <c r="U459" s="92"/>
      <c r="V459" s="94"/>
    </row>
    <row r="460" spans="19:22" ht="12.5">
      <c r="S460" s="92"/>
      <c r="T460" s="93"/>
      <c r="U460" s="92"/>
      <c r="V460" s="94"/>
    </row>
    <row r="461" spans="19:22" ht="12.5">
      <c r="S461" s="92"/>
      <c r="T461" s="93"/>
      <c r="U461" s="92"/>
      <c r="V461" s="94"/>
    </row>
    <row r="462" spans="19:22" ht="12.5">
      <c r="S462" s="92"/>
      <c r="T462" s="93"/>
      <c r="U462" s="92"/>
      <c r="V462" s="94"/>
    </row>
    <row r="463" spans="19:22" ht="12.5">
      <c r="S463" s="92"/>
      <c r="T463" s="93"/>
      <c r="U463" s="92"/>
      <c r="V463" s="94"/>
    </row>
    <row r="464" spans="19:22" ht="12.5">
      <c r="S464" s="92"/>
      <c r="T464" s="93"/>
      <c r="U464" s="92"/>
      <c r="V464" s="94"/>
    </row>
    <row r="465" spans="19:22" ht="12.5">
      <c r="S465" s="92"/>
      <c r="T465" s="93"/>
      <c r="U465" s="92"/>
      <c r="V465" s="94"/>
    </row>
    <row r="466" spans="19:22" ht="12.5">
      <c r="S466" s="92"/>
      <c r="T466" s="93"/>
      <c r="U466" s="92"/>
      <c r="V466" s="94"/>
    </row>
    <row r="467" spans="19:22" ht="12.5">
      <c r="S467" s="92"/>
      <c r="T467" s="93"/>
      <c r="U467" s="92"/>
      <c r="V467" s="94"/>
    </row>
    <row r="468" spans="19:22" ht="12.5">
      <c r="S468" s="92"/>
      <c r="T468" s="93"/>
      <c r="U468" s="92"/>
      <c r="V468" s="94"/>
    </row>
    <row r="469" spans="19:22" ht="12.5">
      <c r="S469" s="92"/>
      <c r="T469" s="93"/>
      <c r="U469" s="92"/>
      <c r="V469" s="94"/>
    </row>
    <row r="470" spans="19:22" ht="12.5">
      <c r="S470" s="92"/>
      <c r="T470" s="93"/>
      <c r="U470" s="92"/>
      <c r="V470" s="94"/>
    </row>
    <row r="471" spans="19:22" ht="12.5">
      <c r="S471" s="92"/>
      <c r="T471" s="93"/>
      <c r="U471" s="92"/>
      <c r="V471" s="94"/>
    </row>
    <row r="472" spans="19:22" ht="12.5">
      <c r="S472" s="92"/>
      <c r="T472" s="93"/>
      <c r="U472" s="92"/>
      <c r="V472" s="94"/>
    </row>
    <row r="473" spans="19:22" ht="12.5">
      <c r="S473" s="92"/>
      <c r="T473" s="93"/>
      <c r="U473" s="92"/>
      <c r="V473" s="94"/>
    </row>
    <row r="474" spans="19:22" ht="12.5">
      <c r="S474" s="92"/>
      <c r="T474" s="93"/>
      <c r="U474" s="92"/>
      <c r="V474" s="94"/>
    </row>
    <row r="475" spans="19:22" ht="12.5">
      <c r="S475" s="92"/>
      <c r="T475" s="93"/>
      <c r="U475" s="92"/>
      <c r="V475" s="94"/>
    </row>
    <row r="476" spans="19:22" ht="12.5">
      <c r="S476" s="92"/>
      <c r="T476" s="93"/>
      <c r="U476" s="92"/>
      <c r="V476" s="94"/>
    </row>
    <row r="477" spans="19:22" ht="12.5">
      <c r="S477" s="92"/>
      <c r="T477" s="93"/>
      <c r="U477" s="92"/>
      <c r="V477" s="94"/>
    </row>
    <row r="478" spans="19:22" ht="12.5">
      <c r="S478" s="92"/>
      <c r="T478" s="93"/>
      <c r="U478" s="92"/>
      <c r="V478" s="94"/>
    </row>
    <row r="479" spans="19:22" ht="12.5">
      <c r="S479" s="92"/>
      <c r="T479" s="93"/>
      <c r="U479" s="92"/>
      <c r="V479" s="94"/>
    </row>
    <row r="480" spans="19:22" ht="12.5">
      <c r="S480" s="92"/>
      <c r="T480" s="93"/>
      <c r="U480" s="92"/>
      <c r="V480" s="94"/>
    </row>
    <row r="481" spans="19:22" ht="12.5">
      <c r="S481" s="92"/>
      <c r="T481" s="93"/>
      <c r="U481" s="92"/>
      <c r="V481" s="94"/>
    </row>
    <row r="482" spans="19:22" ht="12.5">
      <c r="S482" s="92"/>
      <c r="T482" s="93"/>
      <c r="U482" s="92"/>
      <c r="V482" s="94"/>
    </row>
    <row r="483" spans="19:22" ht="12.5">
      <c r="S483" s="92"/>
      <c r="T483" s="93"/>
      <c r="U483" s="92"/>
      <c r="V483" s="94"/>
    </row>
    <row r="484" spans="19:22" ht="12.5">
      <c r="S484" s="92"/>
      <c r="T484" s="93"/>
      <c r="U484" s="92"/>
      <c r="V484" s="94"/>
    </row>
    <row r="485" spans="19:22" ht="12.5">
      <c r="S485" s="92"/>
      <c r="T485" s="93"/>
      <c r="U485" s="92"/>
      <c r="V485" s="94"/>
    </row>
    <row r="486" spans="19:22" ht="12.5">
      <c r="S486" s="92"/>
      <c r="T486" s="93"/>
      <c r="U486" s="92"/>
      <c r="V486" s="94"/>
    </row>
    <row r="487" spans="19:22" ht="12.5">
      <c r="S487" s="92"/>
      <c r="T487" s="93"/>
      <c r="U487" s="92"/>
      <c r="V487" s="94"/>
    </row>
    <row r="488" spans="19:22" ht="12.5">
      <c r="S488" s="92"/>
      <c r="T488" s="93"/>
      <c r="U488" s="92"/>
      <c r="V488" s="94"/>
    </row>
    <row r="489" spans="19:22" ht="12.5">
      <c r="S489" s="92"/>
      <c r="T489" s="93"/>
      <c r="U489" s="92"/>
      <c r="V489" s="94"/>
    </row>
    <row r="490" spans="19:22" ht="12.5">
      <c r="S490" s="92"/>
      <c r="T490" s="93"/>
      <c r="U490" s="92"/>
      <c r="V490" s="94"/>
    </row>
    <row r="491" spans="19:22" ht="12.5">
      <c r="S491" s="92"/>
      <c r="T491" s="93"/>
      <c r="U491" s="92"/>
      <c r="V491" s="94"/>
    </row>
    <row r="492" spans="19:22" ht="12.5">
      <c r="S492" s="92"/>
      <c r="T492" s="93"/>
      <c r="U492" s="92"/>
      <c r="V492" s="94"/>
    </row>
    <row r="493" spans="19:22" ht="12.5">
      <c r="S493" s="92"/>
      <c r="T493" s="93"/>
      <c r="U493" s="92"/>
      <c r="V493" s="94"/>
    </row>
    <row r="494" spans="19:22" ht="12.5">
      <c r="S494" s="92"/>
      <c r="T494" s="93"/>
      <c r="U494" s="92"/>
      <c r="V494" s="94"/>
    </row>
    <row r="495" spans="19:22" ht="12.5">
      <c r="S495" s="92"/>
      <c r="T495" s="93"/>
      <c r="U495" s="92"/>
      <c r="V495" s="94"/>
    </row>
    <row r="496" spans="19:22" ht="12.5">
      <c r="S496" s="92"/>
      <c r="T496" s="93"/>
      <c r="U496" s="92"/>
      <c r="V496" s="94"/>
    </row>
    <row r="497" spans="19:22" ht="12.5">
      <c r="S497" s="92"/>
      <c r="T497" s="93"/>
      <c r="U497" s="92"/>
      <c r="V497" s="94"/>
    </row>
    <row r="498" spans="19:22" ht="12.5">
      <c r="S498" s="92"/>
      <c r="T498" s="93"/>
      <c r="U498" s="92"/>
      <c r="V498" s="94"/>
    </row>
    <row r="499" spans="19:22" ht="12.5">
      <c r="S499" s="92"/>
      <c r="T499" s="93"/>
      <c r="U499" s="92"/>
      <c r="V499" s="94"/>
    </row>
    <row r="500" spans="19:22" ht="12.5">
      <c r="S500" s="92"/>
      <c r="T500" s="93"/>
      <c r="U500" s="92"/>
      <c r="V500" s="94"/>
    </row>
    <row r="501" spans="19:22" ht="12.5">
      <c r="S501" s="92"/>
      <c r="T501" s="93"/>
      <c r="U501" s="92"/>
      <c r="V501" s="94"/>
    </row>
    <row r="502" spans="19:22" ht="12.5">
      <c r="S502" s="92"/>
      <c r="T502" s="93"/>
      <c r="U502" s="92"/>
      <c r="V502" s="94"/>
    </row>
    <row r="503" spans="19:22" ht="12.5">
      <c r="S503" s="92"/>
      <c r="T503" s="93"/>
      <c r="U503" s="92"/>
      <c r="V503" s="94"/>
    </row>
    <row r="504" spans="19:22" ht="12.5">
      <c r="S504" s="92"/>
      <c r="T504" s="93"/>
      <c r="U504" s="92"/>
      <c r="V504" s="94"/>
    </row>
    <row r="505" spans="19:22" ht="12.5">
      <c r="S505" s="92"/>
      <c r="T505" s="93"/>
      <c r="U505" s="92"/>
      <c r="V505" s="94"/>
    </row>
    <row r="506" spans="19:22" ht="12.5">
      <c r="S506" s="92"/>
      <c r="T506" s="93"/>
      <c r="U506" s="92"/>
      <c r="V506" s="94"/>
    </row>
    <row r="507" spans="19:22" ht="12.5">
      <c r="S507" s="92"/>
      <c r="T507" s="93"/>
      <c r="U507" s="92"/>
      <c r="V507" s="94"/>
    </row>
    <row r="508" spans="19:22" ht="12.5">
      <c r="S508" s="92"/>
      <c r="T508" s="93"/>
      <c r="U508" s="92"/>
      <c r="V508" s="94"/>
    </row>
    <row r="509" spans="19:22" ht="12.5">
      <c r="S509" s="92"/>
      <c r="T509" s="93"/>
      <c r="U509" s="92"/>
      <c r="V509" s="94"/>
    </row>
    <row r="510" spans="19:22" ht="12.5">
      <c r="S510" s="92"/>
      <c r="T510" s="93"/>
      <c r="U510" s="92"/>
      <c r="V510" s="94"/>
    </row>
    <row r="511" spans="19:22" ht="12.5">
      <c r="S511" s="92"/>
      <c r="T511" s="93"/>
      <c r="U511" s="92"/>
      <c r="V511" s="94"/>
    </row>
    <row r="512" spans="19:22" ht="12.5">
      <c r="S512" s="92"/>
      <c r="T512" s="93"/>
      <c r="U512" s="92"/>
      <c r="V512" s="94"/>
    </row>
    <row r="513" spans="19:22" ht="12.5">
      <c r="S513" s="92"/>
      <c r="T513" s="93"/>
      <c r="U513" s="92"/>
      <c r="V513" s="94"/>
    </row>
    <row r="514" spans="19:22" ht="12.5">
      <c r="S514" s="92"/>
      <c r="T514" s="93"/>
      <c r="U514" s="92"/>
      <c r="V514" s="94"/>
    </row>
    <row r="515" spans="19:22" ht="12.5">
      <c r="S515" s="92"/>
      <c r="T515" s="93"/>
      <c r="U515" s="92"/>
      <c r="V515" s="94"/>
    </row>
    <row r="516" spans="19:22" ht="12.5">
      <c r="S516" s="92"/>
      <c r="T516" s="93"/>
      <c r="U516" s="92"/>
      <c r="V516" s="94"/>
    </row>
    <row r="517" spans="19:22" ht="12.5">
      <c r="S517" s="92"/>
      <c r="T517" s="93"/>
      <c r="U517" s="92"/>
      <c r="V517" s="94"/>
    </row>
    <row r="518" spans="19:22" ht="12.5">
      <c r="S518" s="92"/>
      <c r="T518" s="93"/>
      <c r="U518" s="92"/>
      <c r="V518" s="94"/>
    </row>
    <row r="519" spans="19:22" ht="12.5">
      <c r="S519" s="92"/>
      <c r="T519" s="93"/>
      <c r="U519" s="92"/>
      <c r="V519" s="94"/>
    </row>
    <row r="520" spans="19:22" ht="12.5">
      <c r="S520" s="92"/>
      <c r="T520" s="93"/>
      <c r="U520" s="92"/>
      <c r="V520" s="94"/>
    </row>
    <row r="521" spans="19:22" ht="12.5">
      <c r="S521" s="92"/>
      <c r="T521" s="93"/>
      <c r="U521" s="92"/>
      <c r="V521" s="94"/>
    </row>
    <row r="522" spans="19:22" ht="12.5">
      <c r="S522" s="92"/>
      <c r="T522" s="93"/>
      <c r="U522" s="92"/>
      <c r="V522" s="94"/>
    </row>
    <row r="523" spans="19:22" ht="12.5">
      <c r="S523" s="92"/>
      <c r="T523" s="93"/>
      <c r="U523" s="92"/>
      <c r="V523" s="94"/>
    </row>
    <row r="524" spans="19:22" ht="12.5">
      <c r="S524" s="92"/>
      <c r="T524" s="93"/>
      <c r="U524" s="92"/>
      <c r="V524" s="94"/>
    </row>
    <row r="525" spans="19:22" ht="12.5">
      <c r="S525" s="92"/>
      <c r="T525" s="93"/>
      <c r="U525" s="92"/>
      <c r="V525" s="94"/>
    </row>
    <row r="526" spans="19:22" ht="12.5">
      <c r="S526" s="92"/>
      <c r="T526" s="93"/>
      <c r="U526" s="92"/>
      <c r="V526" s="94"/>
    </row>
    <row r="527" spans="19:22" ht="12.5">
      <c r="S527" s="92"/>
      <c r="T527" s="93"/>
      <c r="U527" s="92"/>
      <c r="V527" s="94"/>
    </row>
    <row r="528" spans="19:22" ht="12.5">
      <c r="S528" s="92"/>
      <c r="T528" s="93"/>
      <c r="U528" s="92"/>
      <c r="V528" s="94"/>
    </row>
    <row r="529" spans="19:22" ht="12.5">
      <c r="S529" s="92"/>
      <c r="T529" s="93"/>
      <c r="U529" s="92"/>
      <c r="V529" s="94"/>
    </row>
    <row r="530" spans="19:22" ht="12.5">
      <c r="S530" s="92"/>
      <c r="T530" s="93"/>
      <c r="U530" s="92"/>
      <c r="V530" s="94"/>
    </row>
    <row r="531" spans="19:22" ht="12.5">
      <c r="S531" s="92"/>
      <c r="T531" s="93"/>
      <c r="U531" s="92"/>
      <c r="V531" s="94"/>
    </row>
    <row r="532" spans="19:22" ht="12.5">
      <c r="S532" s="92"/>
      <c r="T532" s="93"/>
      <c r="U532" s="92"/>
      <c r="V532" s="94"/>
    </row>
    <row r="533" spans="19:22" ht="12.5">
      <c r="S533" s="92"/>
      <c r="T533" s="93"/>
      <c r="U533" s="92"/>
      <c r="V533" s="94"/>
    </row>
    <row r="534" spans="19:22" ht="12.5">
      <c r="S534" s="92"/>
      <c r="T534" s="93"/>
      <c r="U534" s="92"/>
      <c r="V534" s="94"/>
    </row>
    <row r="535" spans="19:22" ht="12.5">
      <c r="S535" s="92"/>
      <c r="T535" s="93"/>
      <c r="U535" s="92"/>
      <c r="V535" s="94"/>
    </row>
    <row r="536" spans="19:22" ht="12.5">
      <c r="S536" s="92"/>
      <c r="T536" s="93"/>
      <c r="U536" s="92"/>
      <c r="V536" s="94"/>
    </row>
    <row r="537" spans="19:22" ht="12.5">
      <c r="S537" s="92"/>
      <c r="T537" s="93"/>
      <c r="U537" s="92"/>
      <c r="V537" s="94"/>
    </row>
    <row r="538" spans="19:22" ht="12.5">
      <c r="S538" s="92"/>
      <c r="T538" s="93"/>
      <c r="U538" s="92"/>
      <c r="V538" s="94"/>
    </row>
    <row r="539" spans="19:22" ht="12.5">
      <c r="S539" s="92"/>
      <c r="T539" s="93"/>
      <c r="U539" s="92"/>
      <c r="V539" s="94"/>
    </row>
    <row r="540" spans="19:22" ht="12.5">
      <c r="S540" s="92"/>
      <c r="T540" s="93"/>
      <c r="U540" s="92"/>
      <c r="V540" s="94"/>
    </row>
    <row r="541" spans="19:22" ht="12.5">
      <c r="S541" s="92"/>
      <c r="T541" s="93"/>
      <c r="U541" s="92"/>
      <c r="V541" s="94"/>
    </row>
    <row r="542" spans="19:22" ht="12.5">
      <c r="S542" s="92"/>
      <c r="T542" s="93"/>
      <c r="U542" s="92"/>
      <c r="V542" s="94"/>
    </row>
    <row r="543" spans="19:22" ht="12.5">
      <c r="S543" s="92"/>
      <c r="T543" s="93"/>
      <c r="U543" s="92"/>
      <c r="V543" s="94"/>
    </row>
    <row r="544" spans="19:22" ht="12.5">
      <c r="S544" s="92"/>
      <c r="T544" s="93"/>
      <c r="U544" s="92"/>
      <c r="V544" s="94"/>
    </row>
    <row r="545" spans="19:22" ht="12.5">
      <c r="S545" s="92"/>
      <c r="T545" s="93"/>
      <c r="U545" s="92"/>
      <c r="V545" s="94"/>
    </row>
    <row r="546" spans="19:22" ht="12.5">
      <c r="S546" s="92"/>
      <c r="T546" s="93"/>
      <c r="U546" s="92"/>
      <c r="V546" s="94"/>
    </row>
    <row r="547" spans="19:22" ht="12.5">
      <c r="S547" s="92"/>
      <c r="T547" s="93"/>
      <c r="U547" s="92"/>
      <c r="V547" s="94"/>
    </row>
    <row r="548" spans="19:22" ht="12.5">
      <c r="S548" s="92"/>
      <c r="T548" s="93"/>
      <c r="U548" s="92"/>
      <c r="V548" s="94"/>
    </row>
    <row r="549" spans="19:22" ht="12.5">
      <c r="S549" s="92"/>
      <c r="T549" s="93"/>
      <c r="U549" s="92"/>
      <c r="V549" s="94"/>
    </row>
    <row r="550" spans="19:22" ht="12.5">
      <c r="S550" s="92"/>
      <c r="T550" s="93"/>
      <c r="U550" s="92"/>
      <c r="V550" s="94"/>
    </row>
    <row r="551" spans="19:22" ht="12.5">
      <c r="S551" s="92"/>
      <c r="T551" s="93"/>
      <c r="U551" s="92"/>
      <c r="V551" s="94"/>
    </row>
    <row r="552" spans="19:22" ht="12.5">
      <c r="S552" s="92"/>
      <c r="T552" s="93"/>
      <c r="U552" s="92"/>
      <c r="V552" s="94"/>
    </row>
    <row r="553" spans="19:22" ht="12.5">
      <c r="S553" s="92"/>
      <c r="T553" s="93"/>
      <c r="U553" s="92"/>
      <c r="V553" s="94"/>
    </row>
    <row r="554" spans="19:22" ht="12.5">
      <c r="S554" s="92"/>
      <c r="T554" s="93"/>
      <c r="U554" s="92"/>
      <c r="V554" s="94"/>
    </row>
    <row r="555" spans="19:22" ht="12.5">
      <c r="S555" s="92"/>
      <c r="T555" s="93"/>
      <c r="U555" s="92"/>
      <c r="V555" s="94"/>
    </row>
    <row r="556" spans="19:22" ht="12.5">
      <c r="S556" s="92"/>
      <c r="T556" s="93"/>
      <c r="U556" s="92"/>
      <c r="V556" s="94"/>
    </row>
    <row r="557" spans="19:22" ht="12.5">
      <c r="S557" s="92"/>
      <c r="T557" s="93"/>
      <c r="U557" s="92"/>
      <c r="V557" s="94"/>
    </row>
    <row r="558" spans="19:22" ht="12.5">
      <c r="S558" s="92"/>
      <c r="T558" s="93"/>
      <c r="U558" s="92"/>
      <c r="V558" s="94"/>
    </row>
    <row r="559" spans="19:22" ht="12.5">
      <c r="S559" s="92"/>
      <c r="T559" s="93"/>
      <c r="U559" s="92"/>
      <c r="V559" s="94"/>
    </row>
    <row r="560" spans="19:22" ht="12.5">
      <c r="S560" s="92"/>
      <c r="T560" s="93"/>
      <c r="U560" s="92"/>
      <c r="V560" s="94"/>
    </row>
    <row r="561" spans="19:22" ht="12.5">
      <c r="S561" s="92"/>
      <c r="T561" s="93"/>
      <c r="U561" s="92"/>
      <c r="V561" s="94"/>
    </row>
    <row r="562" spans="19:22" ht="12.5">
      <c r="S562" s="92"/>
      <c r="T562" s="93"/>
      <c r="U562" s="92"/>
      <c r="V562" s="94"/>
    </row>
    <row r="563" spans="19:22" ht="12.5">
      <c r="S563" s="92"/>
      <c r="T563" s="93"/>
      <c r="U563" s="92"/>
      <c r="V563" s="94"/>
    </row>
    <row r="564" spans="19:22" ht="12.5">
      <c r="S564" s="92"/>
      <c r="T564" s="93"/>
      <c r="U564" s="92"/>
      <c r="V564" s="94"/>
    </row>
    <row r="565" spans="19:22" ht="12.5">
      <c r="S565" s="92"/>
      <c r="T565" s="93"/>
      <c r="U565" s="92"/>
      <c r="V565" s="94"/>
    </row>
    <row r="566" spans="19:22" ht="12.5">
      <c r="S566" s="92"/>
      <c r="T566" s="93"/>
      <c r="U566" s="92"/>
      <c r="V566" s="94"/>
    </row>
    <row r="567" spans="19:22" ht="12.5">
      <c r="S567" s="92"/>
      <c r="T567" s="93"/>
      <c r="U567" s="92"/>
      <c r="V567" s="94"/>
    </row>
    <row r="568" spans="19:22" ht="12.5">
      <c r="S568" s="92"/>
      <c r="T568" s="93"/>
      <c r="U568" s="92"/>
      <c r="V568" s="94"/>
    </row>
    <row r="569" spans="19:22" ht="12.5">
      <c r="S569" s="92"/>
      <c r="T569" s="93"/>
      <c r="U569" s="92"/>
      <c r="V569" s="94"/>
    </row>
    <row r="570" spans="19:22" ht="12.5">
      <c r="S570" s="92"/>
      <c r="T570" s="93"/>
      <c r="U570" s="92"/>
      <c r="V570" s="94"/>
    </row>
    <row r="571" spans="19:22" ht="12.5">
      <c r="S571" s="92"/>
      <c r="T571" s="93"/>
      <c r="U571" s="92"/>
      <c r="V571" s="94"/>
    </row>
    <row r="572" spans="19:22" ht="12.5">
      <c r="S572" s="92"/>
      <c r="T572" s="93"/>
      <c r="U572" s="92"/>
      <c r="V572" s="94"/>
    </row>
    <row r="573" spans="19:22" ht="12.5">
      <c r="S573" s="92"/>
      <c r="T573" s="93"/>
      <c r="U573" s="92"/>
      <c r="V573" s="94"/>
    </row>
    <row r="574" spans="19:22" ht="12.5">
      <c r="S574" s="92"/>
      <c r="T574" s="93"/>
      <c r="U574" s="92"/>
      <c r="V574" s="94"/>
    </row>
    <row r="575" spans="19:22" ht="12.5">
      <c r="S575" s="92"/>
      <c r="T575" s="93"/>
      <c r="U575" s="92"/>
      <c r="V575" s="94"/>
    </row>
    <row r="576" spans="19:22" ht="12.5">
      <c r="S576" s="92"/>
      <c r="T576" s="93"/>
      <c r="U576" s="92"/>
      <c r="V576" s="94"/>
    </row>
    <row r="577" spans="19:22" ht="12.5">
      <c r="S577" s="92"/>
      <c r="T577" s="93"/>
      <c r="U577" s="92"/>
      <c r="V577" s="94"/>
    </row>
    <row r="578" spans="19:22" ht="12.5">
      <c r="S578" s="92"/>
      <c r="T578" s="93"/>
      <c r="U578" s="92"/>
      <c r="V578" s="94"/>
    </row>
    <row r="579" spans="19:22" ht="12.5">
      <c r="S579" s="92"/>
      <c r="T579" s="93"/>
      <c r="U579" s="92"/>
      <c r="V579" s="94"/>
    </row>
    <row r="580" spans="19:22" ht="12.5">
      <c r="S580" s="92"/>
      <c r="T580" s="93"/>
      <c r="U580" s="92"/>
      <c r="V580" s="94"/>
    </row>
    <row r="581" spans="19:22" ht="12.5">
      <c r="S581" s="92"/>
      <c r="T581" s="93"/>
      <c r="U581" s="92"/>
      <c r="V581" s="94"/>
    </row>
    <row r="582" spans="19:22" ht="12.5">
      <c r="S582" s="92"/>
      <c r="T582" s="93"/>
      <c r="U582" s="92"/>
      <c r="V582" s="94"/>
    </row>
    <row r="583" spans="19:22" ht="12.5">
      <c r="S583" s="92"/>
      <c r="T583" s="93"/>
      <c r="U583" s="92"/>
      <c r="V583" s="94"/>
    </row>
    <row r="584" spans="19:22" ht="12.5">
      <c r="S584" s="92"/>
      <c r="T584" s="93"/>
      <c r="U584" s="92"/>
      <c r="V584" s="94"/>
    </row>
    <row r="585" spans="19:22" ht="12.5">
      <c r="S585" s="92"/>
      <c r="T585" s="93"/>
      <c r="U585" s="92"/>
      <c r="V585" s="94"/>
    </row>
    <row r="586" spans="19:22" ht="12.5">
      <c r="S586" s="92"/>
      <c r="T586" s="93"/>
      <c r="U586" s="92"/>
      <c r="V586" s="94"/>
    </row>
    <row r="587" spans="19:22" ht="12.5">
      <c r="S587" s="92"/>
      <c r="T587" s="93"/>
      <c r="U587" s="92"/>
      <c r="V587" s="94"/>
    </row>
    <row r="588" spans="19:22" ht="12.5">
      <c r="S588" s="92"/>
      <c r="T588" s="93"/>
      <c r="U588" s="92"/>
      <c r="V588" s="94"/>
    </row>
    <row r="589" spans="19:22" ht="12.5">
      <c r="S589" s="92"/>
      <c r="T589" s="93"/>
      <c r="U589" s="92"/>
      <c r="V589" s="94"/>
    </row>
    <row r="590" spans="19:22" ht="12.5">
      <c r="S590" s="92"/>
      <c r="T590" s="93"/>
      <c r="U590" s="92"/>
      <c r="V590" s="94"/>
    </row>
    <row r="591" spans="19:22" ht="12.5">
      <c r="S591" s="92"/>
      <c r="T591" s="93"/>
      <c r="U591" s="92"/>
      <c r="V591" s="94"/>
    </row>
    <row r="592" spans="19:22" ht="12.5">
      <c r="S592" s="92"/>
      <c r="T592" s="93"/>
      <c r="U592" s="92"/>
      <c r="V592" s="94"/>
    </row>
    <row r="593" spans="19:22" ht="12.5">
      <c r="S593" s="92"/>
      <c r="T593" s="93"/>
      <c r="U593" s="92"/>
      <c r="V593" s="94"/>
    </row>
    <row r="594" spans="19:22" ht="12.5">
      <c r="S594" s="92"/>
      <c r="T594" s="93"/>
      <c r="U594" s="92"/>
      <c r="V594" s="94"/>
    </row>
    <row r="595" spans="19:22" ht="12.5">
      <c r="S595" s="92"/>
      <c r="T595" s="93"/>
      <c r="U595" s="92"/>
      <c r="V595" s="94"/>
    </row>
    <row r="596" spans="19:22" ht="12.5">
      <c r="S596" s="92"/>
      <c r="T596" s="93"/>
      <c r="U596" s="92"/>
      <c r="V596" s="94"/>
    </row>
    <row r="597" spans="19:22" ht="12.5">
      <c r="S597" s="92"/>
      <c r="T597" s="93"/>
      <c r="U597" s="92"/>
      <c r="V597" s="94"/>
    </row>
    <row r="598" spans="19:22" ht="12.5">
      <c r="S598" s="92"/>
      <c r="T598" s="93"/>
      <c r="U598" s="92"/>
      <c r="V598" s="94"/>
    </row>
    <row r="599" spans="19:22" ht="12.5">
      <c r="S599" s="92"/>
      <c r="T599" s="93"/>
      <c r="U599" s="92"/>
      <c r="V599" s="94"/>
    </row>
    <row r="600" spans="19:22" ht="12.5">
      <c r="S600" s="92"/>
      <c r="T600" s="93"/>
      <c r="U600" s="92"/>
      <c r="V600" s="94"/>
    </row>
    <row r="601" spans="19:22" ht="12.5">
      <c r="S601" s="92"/>
      <c r="T601" s="93"/>
      <c r="U601" s="92"/>
      <c r="V601" s="94"/>
    </row>
    <row r="602" spans="19:22" ht="12.5">
      <c r="S602" s="92"/>
      <c r="T602" s="93"/>
      <c r="U602" s="92"/>
      <c r="V602" s="94"/>
    </row>
    <row r="603" spans="19:22" ht="12.5">
      <c r="S603" s="92"/>
      <c r="T603" s="93"/>
      <c r="U603" s="92"/>
      <c r="V603" s="94"/>
    </row>
    <row r="604" spans="19:22" ht="12.5">
      <c r="S604" s="92"/>
      <c r="T604" s="93"/>
      <c r="U604" s="92"/>
      <c r="V604" s="94"/>
    </row>
    <row r="605" spans="19:22" ht="12.5">
      <c r="S605" s="92"/>
      <c r="T605" s="93"/>
      <c r="U605" s="92"/>
      <c r="V605" s="94"/>
    </row>
    <row r="606" spans="19:22" ht="12.5">
      <c r="S606" s="92"/>
      <c r="T606" s="93"/>
      <c r="U606" s="92"/>
      <c r="V606" s="94"/>
    </row>
    <row r="607" spans="19:22" ht="12.5">
      <c r="S607" s="92"/>
      <c r="T607" s="93"/>
      <c r="U607" s="92"/>
      <c r="V607" s="94"/>
    </row>
    <row r="608" spans="19:22" ht="12.5">
      <c r="S608" s="92"/>
      <c r="T608" s="93"/>
      <c r="U608" s="92"/>
      <c r="V608" s="94"/>
    </row>
    <row r="609" spans="19:22" ht="12.5">
      <c r="S609" s="92"/>
      <c r="T609" s="93"/>
      <c r="U609" s="92"/>
      <c r="V609" s="94"/>
    </row>
    <row r="610" spans="19:22" ht="12.5">
      <c r="S610" s="92"/>
      <c r="T610" s="93"/>
      <c r="U610" s="92"/>
      <c r="V610" s="94"/>
    </row>
    <row r="611" spans="19:22" ht="12.5">
      <c r="S611" s="92"/>
      <c r="T611" s="93"/>
      <c r="U611" s="92"/>
      <c r="V611" s="94"/>
    </row>
    <row r="612" spans="19:22" ht="12.5">
      <c r="S612" s="92"/>
      <c r="T612" s="93"/>
      <c r="U612" s="92"/>
      <c r="V612" s="94"/>
    </row>
    <row r="613" spans="19:22" ht="12.5">
      <c r="S613" s="92"/>
      <c r="T613" s="93"/>
      <c r="U613" s="92"/>
      <c r="V613" s="94"/>
    </row>
    <row r="614" spans="19:22" ht="12.5">
      <c r="S614" s="92"/>
      <c r="T614" s="93"/>
      <c r="U614" s="92"/>
      <c r="V614" s="94"/>
    </row>
    <row r="615" spans="19:22" ht="12.5">
      <c r="S615" s="92"/>
      <c r="T615" s="93"/>
      <c r="U615" s="92"/>
      <c r="V615" s="94"/>
    </row>
    <row r="616" spans="19:22" ht="12.5">
      <c r="S616" s="92"/>
      <c r="T616" s="93"/>
      <c r="U616" s="92"/>
      <c r="V616" s="94"/>
    </row>
    <row r="617" spans="19:22" ht="12.5">
      <c r="S617" s="92"/>
      <c r="T617" s="93"/>
      <c r="U617" s="92"/>
      <c r="V617" s="94"/>
    </row>
    <row r="618" spans="19:22" ht="12.5">
      <c r="S618" s="92"/>
      <c r="T618" s="93"/>
      <c r="U618" s="92"/>
      <c r="V618" s="94"/>
    </row>
    <row r="619" spans="19:22" ht="12.5">
      <c r="S619" s="92"/>
      <c r="T619" s="93"/>
      <c r="U619" s="92"/>
      <c r="V619" s="94"/>
    </row>
    <row r="620" spans="19:22" ht="12.5">
      <c r="S620" s="92"/>
      <c r="T620" s="93"/>
      <c r="U620" s="92"/>
      <c r="V620" s="94"/>
    </row>
    <row r="621" spans="19:22" ht="12.5">
      <c r="S621" s="92"/>
      <c r="T621" s="93"/>
      <c r="U621" s="92"/>
      <c r="V621" s="94"/>
    </row>
    <row r="622" spans="19:22" ht="12.5">
      <c r="S622" s="92"/>
      <c r="T622" s="93"/>
      <c r="U622" s="92"/>
      <c r="V622" s="94"/>
    </row>
    <row r="623" spans="19:22" ht="12.5">
      <c r="S623" s="92"/>
      <c r="T623" s="93"/>
      <c r="U623" s="92"/>
      <c r="V623" s="94"/>
    </row>
    <row r="624" spans="19:22" ht="12.5">
      <c r="S624" s="92"/>
      <c r="T624" s="93"/>
      <c r="U624" s="92"/>
      <c r="V624" s="94"/>
    </row>
    <row r="625" spans="19:22" ht="12.5">
      <c r="S625" s="92"/>
      <c r="T625" s="93"/>
      <c r="U625" s="92"/>
      <c r="V625" s="94"/>
    </row>
    <row r="626" spans="19:22" ht="12.5">
      <c r="S626" s="92"/>
      <c r="T626" s="93"/>
      <c r="U626" s="92"/>
      <c r="V626" s="94"/>
    </row>
    <row r="627" spans="19:22" ht="12.5">
      <c r="S627" s="92"/>
      <c r="T627" s="93"/>
      <c r="U627" s="92"/>
      <c r="V627" s="94"/>
    </row>
    <row r="628" spans="19:22" ht="12.5">
      <c r="S628" s="92"/>
      <c r="T628" s="93"/>
      <c r="U628" s="92"/>
      <c r="V628" s="94"/>
    </row>
    <row r="629" spans="19:22" ht="12.5">
      <c r="S629" s="92"/>
      <c r="T629" s="93"/>
      <c r="U629" s="92"/>
      <c r="V629" s="94"/>
    </row>
    <row r="630" spans="19:22" ht="12.5">
      <c r="S630" s="92"/>
      <c r="T630" s="93"/>
      <c r="U630" s="92"/>
      <c r="V630" s="94"/>
    </row>
    <row r="631" spans="19:22" ht="12.5">
      <c r="S631" s="92"/>
      <c r="T631" s="93"/>
      <c r="U631" s="92"/>
      <c r="V631" s="94"/>
    </row>
    <row r="632" spans="19:22" ht="12.5">
      <c r="S632" s="92"/>
      <c r="T632" s="93"/>
      <c r="U632" s="92"/>
      <c r="V632" s="94"/>
    </row>
    <row r="633" spans="19:22" ht="12.5">
      <c r="S633" s="92"/>
      <c r="T633" s="93"/>
      <c r="U633" s="92"/>
      <c r="V633" s="94"/>
    </row>
    <row r="634" spans="19:22" ht="12.5">
      <c r="S634" s="92"/>
      <c r="T634" s="93"/>
      <c r="U634" s="92"/>
      <c r="V634" s="94"/>
    </row>
    <row r="635" spans="19:22" ht="12.5">
      <c r="S635" s="92"/>
      <c r="T635" s="93"/>
      <c r="U635" s="92"/>
      <c r="V635" s="94"/>
    </row>
    <row r="636" spans="19:22" ht="12.5">
      <c r="S636" s="92"/>
      <c r="T636" s="93"/>
      <c r="U636" s="92"/>
      <c r="V636" s="94"/>
    </row>
    <row r="637" spans="19:22" ht="12.5">
      <c r="S637" s="92"/>
      <c r="T637" s="93"/>
      <c r="U637" s="92"/>
      <c r="V637" s="94"/>
    </row>
    <row r="638" spans="19:22" ht="12.5">
      <c r="S638" s="92"/>
      <c r="T638" s="93"/>
      <c r="U638" s="92"/>
      <c r="V638" s="94"/>
    </row>
    <row r="639" spans="19:22" ht="12.5">
      <c r="S639" s="92"/>
      <c r="T639" s="93"/>
      <c r="U639" s="92"/>
      <c r="V639" s="94"/>
    </row>
    <row r="640" spans="19:22" ht="12.5">
      <c r="S640" s="92"/>
      <c r="T640" s="93"/>
      <c r="U640" s="92"/>
      <c r="V640" s="94"/>
    </row>
    <row r="641" spans="19:22" ht="12.5">
      <c r="S641" s="92"/>
      <c r="T641" s="93"/>
      <c r="U641" s="92"/>
      <c r="V641" s="94"/>
    </row>
    <row r="642" spans="19:22" ht="12.5">
      <c r="S642" s="92"/>
      <c r="T642" s="93"/>
      <c r="U642" s="92"/>
      <c r="V642" s="94"/>
    </row>
    <row r="643" spans="19:22" ht="12.5">
      <c r="S643" s="92"/>
      <c r="T643" s="93"/>
      <c r="U643" s="92"/>
      <c r="V643" s="94"/>
    </row>
    <row r="644" spans="19:22" ht="12.5">
      <c r="S644" s="92"/>
      <c r="T644" s="93"/>
      <c r="U644" s="92"/>
      <c r="V644" s="94"/>
    </row>
    <row r="645" spans="19:22" ht="12.5">
      <c r="S645" s="92"/>
      <c r="T645" s="93"/>
      <c r="U645" s="92"/>
      <c r="V645" s="94"/>
    </row>
    <row r="646" spans="19:22" ht="12.5">
      <c r="S646" s="92"/>
      <c r="T646" s="93"/>
      <c r="U646" s="92"/>
      <c r="V646" s="94"/>
    </row>
    <row r="647" spans="19:22" ht="12.5">
      <c r="S647" s="92"/>
      <c r="T647" s="93"/>
      <c r="U647" s="92"/>
      <c r="V647" s="94"/>
    </row>
    <row r="648" spans="19:22" ht="12.5">
      <c r="S648" s="92"/>
      <c r="T648" s="93"/>
      <c r="U648" s="92"/>
      <c r="V648" s="94"/>
    </row>
    <row r="649" spans="19:22" ht="12.5">
      <c r="S649" s="92"/>
      <c r="T649" s="93"/>
      <c r="U649" s="92"/>
      <c r="V649" s="94"/>
    </row>
    <row r="650" spans="19:22" ht="12.5">
      <c r="S650" s="92"/>
      <c r="T650" s="93"/>
      <c r="U650" s="92"/>
      <c r="V650" s="94"/>
    </row>
    <row r="651" spans="19:22" ht="12.5">
      <c r="S651" s="92"/>
      <c r="T651" s="93"/>
      <c r="U651" s="92"/>
      <c r="V651" s="94"/>
    </row>
    <row r="652" spans="19:22" ht="12.5">
      <c r="S652" s="92"/>
      <c r="T652" s="93"/>
      <c r="U652" s="92"/>
      <c r="V652" s="94"/>
    </row>
    <row r="653" spans="19:22" ht="12.5">
      <c r="S653" s="92"/>
      <c r="T653" s="93"/>
      <c r="U653" s="92"/>
      <c r="V653" s="94"/>
    </row>
    <row r="654" spans="19:22" ht="12.5">
      <c r="S654" s="92"/>
      <c r="T654" s="93"/>
      <c r="U654" s="92"/>
      <c r="V654" s="94"/>
    </row>
    <row r="655" spans="19:22" ht="12.5">
      <c r="S655" s="92"/>
      <c r="T655" s="93"/>
      <c r="U655" s="92"/>
      <c r="V655" s="94"/>
    </row>
    <row r="656" spans="19:22" ht="12.5">
      <c r="S656" s="92"/>
      <c r="T656" s="93"/>
      <c r="U656" s="92"/>
      <c r="V656" s="94"/>
    </row>
    <row r="657" spans="19:22" ht="12.5">
      <c r="S657" s="92"/>
      <c r="T657" s="93"/>
      <c r="U657" s="92"/>
      <c r="V657" s="94"/>
    </row>
    <row r="658" spans="19:22" ht="12.5">
      <c r="S658" s="92"/>
      <c r="T658" s="93"/>
      <c r="U658" s="92"/>
      <c r="V658" s="94"/>
    </row>
    <row r="659" spans="19:22" ht="12.5">
      <c r="S659" s="92"/>
      <c r="T659" s="93"/>
      <c r="U659" s="92"/>
      <c r="V659" s="94"/>
    </row>
    <row r="660" spans="19:22" ht="12.5">
      <c r="S660" s="92"/>
      <c r="T660" s="93"/>
      <c r="U660" s="92"/>
      <c r="V660" s="94"/>
    </row>
    <row r="661" spans="19:22" ht="12.5">
      <c r="S661" s="92"/>
      <c r="T661" s="93"/>
      <c r="U661" s="92"/>
      <c r="V661" s="94"/>
    </row>
    <row r="662" spans="19:22" ht="12.5">
      <c r="S662" s="92"/>
      <c r="T662" s="93"/>
      <c r="U662" s="92"/>
      <c r="V662" s="94"/>
    </row>
    <row r="663" spans="19:22" ht="12.5">
      <c r="S663" s="92"/>
      <c r="T663" s="93"/>
      <c r="U663" s="92"/>
      <c r="V663" s="94"/>
    </row>
    <row r="664" spans="19:22" ht="12.5">
      <c r="S664" s="92"/>
      <c r="T664" s="93"/>
      <c r="U664" s="92"/>
      <c r="V664" s="94"/>
    </row>
    <row r="665" spans="19:22" ht="12.5">
      <c r="S665" s="92"/>
      <c r="T665" s="93"/>
      <c r="U665" s="92"/>
      <c r="V665" s="94"/>
    </row>
    <row r="666" spans="19:22" ht="12.5">
      <c r="S666" s="92"/>
      <c r="T666" s="93"/>
      <c r="U666" s="92"/>
      <c r="V666" s="94"/>
    </row>
    <row r="667" spans="19:22" ht="12.5">
      <c r="S667" s="92"/>
      <c r="T667" s="93"/>
      <c r="U667" s="92"/>
      <c r="V667" s="94"/>
    </row>
    <row r="668" spans="19:22" ht="12.5">
      <c r="S668" s="92"/>
      <c r="T668" s="93"/>
      <c r="U668" s="92"/>
      <c r="V668" s="94"/>
    </row>
    <row r="669" spans="19:22" ht="12.5">
      <c r="S669" s="92"/>
      <c r="T669" s="93"/>
      <c r="U669" s="92"/>
      <c r="V669" s="94"/>
    </row>
    <row r="670" spans="19:22" ht="12.5">
      <c r="S670" s="92"/>
      <c r="T670" s="93"/>
      <c r="U670" s="92"/>
      <c r="V670" s="94"/>
    </row>
    <row r="671" spans="19:22" ht="12.5">
      <c r="S671" s="92"/>
      <c r="T671" s="93"/>
      <c r="U671" s="92"/>
      <c r="V671" s="94"/>
    </row>
    <row r="672" spans="19:22" ht="12.5">
      <c r="S672" s="92"/>
      <c r="T672" s="93"/>
      <c r="U672" s="92"/>
      <c r="V672" s="94"/>
    </row>
    <row r="673" spans="19:22" ht="12.5">
      <c r="S673" s="92"/>
      <c r="T673" s="93"/>
      <c r="U673" s="92"/>
      <c r="V673" s="94"/>
    </row>
    <row r="674" spans="19:22" ht="12.5">
      <c r="S674" s="92"/>
      <c r="T674" s="93"/>
      <c r="U674" s="92"/>
      <c r="V674" s="94"/>
    </row>
    <row r="675" spans="19:22" ht="12.5">
      <c r="S675" s="92"/>
      <c r="T675" s="93"/>
      <c r="U675" s="92"/>
      <c r="V675" s="94"/>
    </row>
    <row r="676" spans="19:22" ht="12.5">
      <c r="S676" s="92"/>
      <c r="T676" s="93"/>
      <c r="U676" s="92"/>
      <c r="V676" s="94"/>
    </row>
    <row r="677" spans="19:22" ht="12.5">
      <c r="S677" s="92"/>
      <c r="T677" s="93"/>
      <c r="U677" s="92"/>
      <c r="V677" s="94"/>
    </row>
    <row r="678" spans="19:22" ht="12.5">
      <c r="S678" s="92"/>
      <c r="T678" s="93"/>
      <c r="U678" s="92"/>
      <c r="V678" s="94"/>
    </row>
    <row r="679" spans="19:22" ht="12.5">
      <c r="S679" s="92"/>
      <c r="T679" s="93"/>
      <c r="U679" s="92"/>
      <c r="V679" s="94"/>
    </row>
    <row r="680" spans="19:22" ht="12.5">
      <c r="S680" s="92"/>
      <c r="T680" s="93"/>
      <c r="U680" s="92"/>
      <c r="V680" s="94"/>
    </row>
    <row r="681" spans="19:22" ht="12.5">
      <c r="S681" s="92"/>
      <c r="T681" s="93"/>
      <c r="U681" s="92"/>
      <c r="V681" s="94"/>
    </row>
    <row r="682" spans="19:22" ht="12.5">
      <c r="S682" s="92"/>
      <c r="T682" s="93"/>
      <c r="U682" s="92"/>
      <c r="V682" s="94"/>
    </row>
    <row r="683" spans="19:22" ht="12.5">
      <c r="S683" s="92"/>
      <c r="T683" s="93"/>
      <c r="U683" s="92"/>
      <c r="V683" s="94"/>
    </row>
    <row r="684" spans="19:22" ht="12.5">
      <c r="S684" s="92"/>
      <c r="T684" s="93"/>
      <c r="U684" s="92"/>
      <c r="V684" s="94"/>
    </row>
    <row r="685" spans="19:22" ht="12.5">
      <c r="S685" s="92"/>
      <c r="T685" s="93"/>
      <c r="U685" s="92"/>
      <c r="V685" s="94"/>
    </row>
    <row r="686" spans="19:22" ht="12.5">
      <c r="S686" s="92"/>
      <c r="T686" s="93"/>
      <c r="U686" s="92"/>
      <c r="V686" s="94"/>
    </row>
    <row r="687" spans="19:22" ht="12.5">
      <c r="S687" s="92"/>
      <c r="T687" s="93"/>
      <c r="U687" s="92"/>
      <c r="V687" s="94"/>
    </row>
    <row r="688" spans="19:22" ht="12.5">
      <c r="S688" s="92"/>
      <c r="T688" s="93"/>
      <c r="U688" s="92"/>
      <c r="V688" s="94"/>
    </row>
    <row r="689" spans="19:22" ht="12.5">
      <c r="S689" s="92"/>
      <c r="T689" s="93"/>
      <c r="U689" s="92"/>
      <c r="V689" s="94"/>
    </row>
    <row r="690" spans="19:22" ht="12.5">
      <c r="S690" s="92"/>
      <c r="T690" s="93"/>
      <c r="U690" s="92"/>
      <c r="V690" s="94"/>
    </row>
    <row r="691" spans="19:22" ht="12.5">
      <c r="S691" s="92"/>
      <c r="T691" s="93"/>
      <c r="U691" s="92"/>
      <c r="V691" s="94"/>
    </row>
    <row r="692" spans="19:22" ht="12.5">
      <c r="S692" s="92"/>
      <c r="T692" s="93"/>
      <c r="U692" s="92"/>
      <c r="V692" s="94"/>
    </row>
    <row r="693" spans="19:22" ht="12.5">
      <c r="S693" s="92"/>
      <c r="T693" s="93"/>
      <c r="U693" s="92"/>
      <c r="V693" s="94"/>
    </row>
    <row r="694" spans="19:22" ht="12.5">
      <c r="S694" s="92"/>
      <c r="T694" s="93"/>
      <c r="U694" s="92"/>
      <c r="V694" s="94"/>
    </row>
    <row r="695" spans="19:22" ht="12.5">
      <c r="S695" s="92"/>
      <c r="T695" s="93"/>
      <c r="U695" s="92"/>
      <c r="V695" s="94"/>
    </row>
    <row r="696" spans="19:22" ht="12.5">
      <c r="S696" s="92"/>
      <c r="T696" s="93"/>
      <c r="U696" s="92"/>
      <c r="V696" s="94"/>
    </row>
    <row r="697" spans="19:22" ht="12.5">
      <c r="S697" s="92"/>
      <c r="T697" s="93"/>
      <c r="U697" s="92"/>
      <c r="V697" s="94"/>
    </row>
    <row r="698" spans="19:22" ht="12.5">
      <c r="S698" s="92"/>
      <c r="T698" s="93"/>
      <c r="U698" s="92"/>
      <c r="V698" s="94"/>
    </row>
    <row r="699" spans="19:22" ht="12.5">
      <c r="S699" s="92"/>
      <c r="T699" s="93"/>
      <c r="U699" s="92"/>
      <c r="V699" s="94"/>
    </row>
    <row r="700" spans="19:22" ht="12.5">
      <c r="S700" s="92"/>
      <c r="T700" s="93"/>
      <c r="U700" s="92"/>
      <c r="V700" s="94"/>
    </row>
    <row r="701" spans="19:22" ht="12.5">
      <c r="S701" s="92"/>
      <c r="T701" s="93"/>
      <c r="U701" s="92"/>
      <c r="V701" s="94"/>
    </row>
    <row r="702" spans="19:22" ht="12.5">
      <c r="S702" s="92"/>
      <c r="T702" s="93"/>
      <c r="U702" s="92"/>
      <c r="V702" s="94"/>
    </row>
    <row r="703" spans="19:22" ht="12.5">
      <c r="S703" s="92"/>
      <c r="T703" s="93"/>
      <c r="U703" s="92"/>
      <c r="V703" s="94"/>
    </row>
    <row r="704" spans="19:22" ht="12.5">
      <c r="S704" s="92"/>
      <c r="T704" s="93"/>
      <c r="U704" s="92"/>
      <c r="V704" s="94"/>
    </row>
    <row r="705" spans="19:22" ht="12.5">
      <c r="S705" s="92"/>
      <c r="T705" s="93"/>
      <c r="U705" s="92"/>
      <c r="V705" s="94"/>
    </row>
    <row r="706" spans="19:22" ht="12.5">
      <c r="S706" s="92"/>
      <c r="T706" s="93"/>
      <c r="U706" s="92"/>
      <c r="V706" s="94"/>
    </row>
    <row r="707" spans="19:22" ht="12.5">
      <c r="S707" s="92"/>
      <c r="T707" s="93"/>
      <c r="U707" s="92"/>
      <c r="V707" s="94"/>
    </row>
    <row r="708" spans="19:22" ht="12.5">
      <c r="S708" s="92"/>
      <c r="T708" s="93"/>
      <c r="U708" s="92"/>
      <c r="V708" s="94"/>
    </row>
    <row r="709" spans="19:22" ht="12.5">
      <c r="S709" s="92"/>
      <c r="T709" s="93"/>
      <c r="U709" s="92"/>
      <c r="V709" s="94"/>
    </row>
    <row r="710" spans="19:22" ht="12.5">
      <c r="S710" s="92"/>
      <c r="T710" s="93"/>
      <c r="U710" s="92"/>
      <c r="V710" s="94"/>
    </row>
    <row r="711" spans="19:22" ht="12.5">
      <c r="S711" s="92"/>
      <c r="T711" s="93"/>
      <c r="U711" s="92"/>
      <c r="V711" s="94"/>
    </row>
    <row r="712" spans="19:22" ht="12.5">
      <c r="S712" s="92"/>
      <c r="T712" s="93"/>
      <c r="U712" s="92"/>
      <c r="V712" s="94"/>
    </row>
    <row r="713" spans="19:22" ht="12.5">
      <c r="S713" s="92"/>
      <c r="T713" s="93"/>
      <c r="U713" s="92"/>
      <c r="V713" s="94"/>
    </row>
    <row r="714" spans="19:22" ht="12.5">
      <c r="S714" s="92"/>
      <c r="T714" s="93"/>
      <c r="U714" s="92"/>
      <c r="V714" s="94"/>
    </row>
    <row r="715" spans="19:22" ht="12.5">
      <c r="S715" s="92"/>
      <c r="T715" s="93"/>
      <c r="U715" s="92"/>
      <c r="V715" s="94"/>
    </row>
    <row r="716" spans="19:22" ht="12.5">
      <c r="S716" s="92"/>
      <c r="T716" s="93"/>
      <c r="U716" s="92"/>
      <c r="V716" s="94"/>
    </row>
    <row r="717" spans="19:22" ht="12.5">
      <c r="S717" s="92"/>
      <c r="T717" s="93"/>
      <c r="U717" s="92"/>
      <c r="V717" s="94"/>
    </row>
    <row r="718" spans="19:22" ht="12.5">
      <c r="S718" s="92"/>
      <c r="T718" s="93"/>
      <c r="U718" s="92"/>
      <c r="V718" s="94"/>
    </row>
    <row r="719" spans="19:22" ht="12.5">
      <c r="S719" s="92"/>
      <c r="T719" s="93"/>
      <c r="U719" s="92"/>
      <c r="V719" s="94"/>
    </row>
    <row r="720" spans="19:22" ht="12.5">
      <c r="S720" s="92"/>
      <c r="T720" s="93"/>
      <c r="U720" s="92"/>
      <c r="V720" s="94"/>
    </row>
    <row r="721" spans="19:22" ht="12.5">
      <c r="S721" s="92"/>
      <c r="T721" s="93"/>
      <c r="U721" s="92"/>
      <c r="V721" s="94"/>
    </row>
    <row r="722" spans="19:22" ht="12.5">
      <c r="S722" s="92"/>
      <c r="T722" s="93"/>
      <c r="U722" s="92"/>
      <c r="V722" s="94"/>
    </row>
    <row r="723" spans="19:22" ht="12.5">
      <c r="S723" s="92"/>
      <c r="T723" s="93"/>
      <c r="U723" s="92"/>
      <c r="V723" s="94"/>
    </row>
    <row r="724" spans="19:22" ht="12.5">
      <c r="S724" s="92"/>
      <c r="T724" s="93"/>
      <c r="U724" s="92"/>
      <c r="V724" s="94"/>
    </row>
    <row r="725" spans="19:22" ht="12.5">
      <c r="S725" s="92"/>
      <c r="T725" s="93"/>
      <c r="U725" s="92"/>
      <c r="V725" s="94"/>
    </row>
    <row r="726" spans="19:22" ht="12.5">
      <c r="S726" s="92"/>
      <c r="T726" s="93"/>
      <c r="U726" s="92"/>
      <c r="V726" s="94"/>
    </row>
    <row r="727" spans="19:22" ht="12.5">
      <c r="S727" s="92"/>
      <c r="T727" s="93"/>
      <c r="U727" s="92"/>
      <c r="V727" s="94"/>
    </row>
    <row r="728" spans="19:22" ht="12.5">
      <c r="S728" s="92"/>
      <c r="T728" s="93"/>
      <c r="U728" s="92"/>
      <c r="V728" s="94"/>
    </row>
    <row r="729" spans="19:22" ht="12.5">
      <c r="S729" s="92"/>
      <c r="T729" s="93"/>
      <c r="U729" s="92"/>
      <c r="V729" s="94"/>
    </row>
    <row r="730" spans="19:22" ht="12.5">
      <c r="S730" s="92"/>
      <c r="T730" s="93"/>
      <c r="U730" s="92"/>
      <c r="V730" s="94"/>
    </row>
    <row r="731" spans="19:22" ht="12.5">
      <c r="S731" s="92"/>
      <c r="T731" s="93"/>
      <c r="U731" s="92"/>
      <c r="V731" s="94"/>
    </row>
    <row r="732" spans="19:22" ht="12.5">
      <c r="S732" s="92"/>
      <c r="T732" s="93"/>
      <c r="U732" s="92"/>
      <c r="V732" s="94"/>
    </row>
    <row r="733" spans="19:22" ht="12.5">
      <c r="S733" s="92"/>
      <c r="T733" s="93"/>
      <c r="U733" s="92"/>
      <c r="V733" s="94"/>
    </row>
    <row r="734" spans="19:22" ht="12.5">
      <c r="S734" s="92"/>
      <c r="T734" s="93"/>
      <c r="U734" s="92"/>
      <c r="V734" s="94"/>
    </row>
    <row r="735" spans="19:22" ht="12.5">
      <c r="S735" s="92"/>
      <c r="T735" s="93"/>
      <c r="U735" s="92"/>
      <c r="V735" s="94"/>
    </row>
    <row r="736" spans="19:22" ht="12.5">
      <c r="S736" s="92"/>
      <c r="T736" s="93"/>
      <c r="U736" s="92"/>
      <c r="V736" s="94"/>
    </row>
    <row r="737" spans="19:22" ht="12.5">
      <c r="S737" s="92"/>
      <c r="T737" s="93"/>
      <c r="U737" s="92"/>
      <c r="V737" s="94"/>
    </row>
    <row r="738" spans="19:22" ht="12.5">
      <c r="S738" s="92"/>
      <c r="T738" s="93"/>
      <c r="U738" s="92"/>
      <c r="V738" s="94"/>
    </row>
    <row r="739" spans="19:22" ht="12.5">
      <c r="S739" s="92"/>
      <c r="T739" s="93"/>
      <c r="U739" s="92"/>
      <c r="V739" s="94"/>
    </row>
    <row r="740" spans="19:22" ht="12.5">
      <c r="S740" s="92"/>
      <c r="T740" s="93"/>
      <c r="U740" s="92"/>
      <c r="V740" s="94"/>
    </row>
    <row r="741" spans="19:22" ht="12.5">
      <c r="S741" s="92"/>
      <c r="T741" s="93"/>
      <c r="U741" s="92"/>
      <c r="V741" s="94"/>
    </row>
    <row r="742" spans="19:22" ht="12.5">
      <c r="S742" s="92"/>
      <c r="T742" s="93"/>
      <c r="U742" s="92"/>
      <c r="V742" s="94"/>
    </row>
    <row r="743" spans="19:22" ht="12.5">
      <c r="S743" s="92"/>
      <c r="T743" s="93"/>
      <c r="U743" s="92"/>
      <c r="V743" s="94"/>
    </row>
    <row r="744" spans="19:22" ht="12.5">
      <c r="S744" s="92"/>
      <c r="T744" s="93"/>
      <c r="U744" s="92"/>
      <c r="V744" s="94"/>
    </row>
    <row r="745" spans="19:22" ht="12.5">
      <c r="S745" s="92"/>
      <c r="T745" s="93"/>
      <c r="U745" s="92"/>
      <c r="V745" s="94"/>
    </row>
    <row r="746" spans="19:22" ht="12.5">
      <c r="S746" s="92"/>
      <c r="T746" s="93"/>
      <c r="U746" s="92"/>
      <c r="V746" s="94"/>
    </row>
    <row r="747" spans="19:22" ht="12.5">
      <c r="S747" s="92"/>
      <c r="T747" s="93"/>
      <c r="U747" s="92"/>
      <c r="V747" s="94"/>
    </row>
    <row r="748" spans="19:22" ht="12.5">
      <c r="S748" s="92"/>
      <c r="T748" s="93"/>
      <c r="U748" s="92"/>
      <c r="V748" s="94"/>
    </row>
    <row r="749" spans="19:22" ht="12.5">
      <c r="S749" s="92"/>
      <c r="T749" s="93"/>
      <c r="U749" s="92"/>
      <c r="V749" s="94"/>
    </row>
    <row r="750" spans="19:22" ht="12.5">
      <c r="S750" s="92"/>
      <c r="T750" s="93"/>
      <c r="U750" s="92"/>
      <c r="V750" s="94"/>
    </row>
    <row r="751" spans="19:22" ht="12.5">
      <c r="S751" s="92"/>
      <c r="T751" s="93"/>
      <c r="U751" s="92"/>
      <c r="V751" s="94"/>
    </row>
    <row r="752" spans="19:22" ht="12.5">
      <c r="S752" s="92"/>
      <c r="T752" s="93"/>
      <c r="U752" s="92"/>
      <c r="V752" s="94"/>
    </row>
    <row r="753" spans="19:22" ht="12.5">
      <c r="S753" s="92"/>
      <c r="T753" s="93"/>
      <c r="U753" s="92"/>
      <c r="V753" s="94"/>
    </row>
    <row r="754" spans="19:22" ht="12.5">
      <c r="S754" s="92"/>
      <c r="T754" s="93"/>
      <c r="U754" s="92"/>
      <c r="V754" s="94"/>
    </row>
    <row r="755" spans="19:22" ht="12.5">
      <c r="S755" s="92"/>
      <c r="T755" s="93"/>
      <c r="U755" s="92"/>
      <c r="V755" s="94"/>
    </row>
    <row r="756" spans="19:22" ht="12.5">
      <c r="S756" s="92"/>
      <c r="T756" s="93"/>
      <c r="U756" s="92"/>
      <c r="V756" s="94"/>
    </row>
    <row r="757" spans="19:22" ht="12.5">
      <c r="S757" s="92"/>
      <c r="T757" s="93"/>
      <c r="U757" s="92"/>
      <c r="V757" s="94"/>
    </row>
    <row r="758" spans="19:22" ht="12.5">
      <c r="S758" s="92"/>
      <c r="T758" s="93"/>
      <c r="U758" s="92"/>
      <c r="V758" s="94"/>
    </row>
    <row r="759" spans="19:22" ht="12.5">
      <c r="S759" s="92"/>
      <c r="T759" s="93"/>
      <c r="U759" s="92"/>
      <c r="V759" s="94"/>
    </row>
    <row r="760" spans="19:22" ht="12.5">
      <c r="S760" s="92"/>
      <c r="T760" s="93"/>
      <c r="U760" s="92"/>
      <c r="V760" s="94"/>
    </row>
    <row r="761" spans="19:22" ht="12.5">
      <c r="S761" s="92"/>
      <c r="T761" s="93"/>
      <c r="U761" s="92"/>
      <c r="V761" s="94"/>
    </row>
    <row r="762" spans="19:22" ht="12.5">
      <c r="S762" s="92"/>
      <c r="T762" s="93"/>
      <c r="U762" s="92"/>
      <c r="V762" s="94"/>
    </row>
    <row r="763" spans="19:22" ht="12.5">
      <c r="S763" s="92"/>
      <c r="T763" s="93"/>
      <c r="U763" s="92"/>
      <c r="V763" s="94"/>
    </row>
    <row r="764" spans="19:22" ht="12.5">
      <c r="S764" s="92"/>
      <c r="T764" s="93"/>
      <c r="U764" s="92"/>
      <c r="V764" s="94"/>
    </row>
    <row r="765" spans="19:22" ht="12.5">
      <c r="S765" s="92"/>
      <c r="T765" s="93"/>
      <c r="U765" s="92"/>
      <c r="V765" s="94"/>
    </row>
    <row r="766" spans="19:22" ht="12.5">
      <c r="S766" s="92"/>
      <c r="T766" s="93"/>
      <c r="U766" s="92"/>
      <c r="V766" s="94"/>
    </row>
    <row r="767" spans="19:22" ht="12.5">
      <c r="S767" s="92"/>
      <c r="T767" s="93"/>
      <c r="U767" s="92"/>
      <c r="V767" s="94"/>
    </row>
    <row r="768" spans="19:22" ht="12.5">
      <c r="S768" s="92"/>
      <c r="T768" s="93"/>
      <c r="U768" s="92"/>
      <c r="V768" s="94"/>
    </row>
    <row r="769" spans="19:22" ht="12.5">
      <c r="S769" s="92"/>
      <c r="T769" s="93"/>
      <c r="U769" s="92"/>
      <c r="V769" s="94"/>
    </row>
    <row r="770" spans="19:22" ht="12.5">
      <c r="S770" s="92"/>
      <c r="T770" s="93"/>
      <c r="U770" s="92"/>
      <c r="V770" s="94"/>
    </row>
    <row r="771" spans="19:22" ht="12.5">
      <c r="S771" s="92"/>
      <c r="T771" s="93"/>
      <c r="U771" s="92"/>
      <c r="V771" s="94"/>
    </row>
    <row r="772" spans="19:22" ht="12.5">
      <c r="S772" s="92"/>
      <c r="T772" s="93"/>
      <c r="U772" s="92"/>
      <c r="V772" s="94"/>
    </row>
    <row r="773" spans="19:22" ht="12.5">
      <c r="S773" s="92"/>
      <c r="T773" s="93"/>
      <c r="U773" s="92"/>
      <c r="V773" s="94"/>
    </row>
    <row r="774" spans="19:22" ht="12.5">
      <c r="S774" s="92"/>
      <c r="T774" s="93"/>
      <c r="U774" s="92"/>
      <c r="V774" s="94"/>
    </row>
    <row r="775" spans="19:22" ht="12.5">
      <c r="S775" s="92"/>
      <c r="T775" s="93"/>
      <c r="U775" s="92"/>
      <c r="V775" s="94"/>
    </row>
    <row r="776" spans="19:22" ht="12.5">
      <c r="S776" s="92"/>
      <c r="T776" s="93"/>
      <c r="U776" s="92"/>
      <c r="V776" s="94"/>
    </row>
    <row r="777" spans="19:22" ht="12.5">
      <c r="S777" s="92"/>
      <c r="T777" s="93"/>
      <c r="U777" s="92"/>
      <c r="V777" s="94"/>
    </row>
    <row r="778" spans="19:22" ht="12.5">
      <c r="S778" s="92"/>
      <c r="T778" s="93"/>
      <c r="U778" s="92"/>
      <c r="V778" s="94"/>
    </row>
    <row r="779" spans="19:22" ht="12.5">
      <c r="S779" s="92"/>
      <c r="T779" s="93"/>
      <c r="U779" s="92"/>
      <c r="V779" s="94"/>
    </row>
    <row r="780" spans="19:22" ht="12.5">
      <c r="S780" s="92"/>
      <c r="T780" s="93"/>
      <c r="U780" s="92"/>
      <c r="V780" s="94"/>
    </row>
    <row r="781" spans="19:22" ht="12.5">
      <c r="S781" s="92"/>
      <c r="T781" s="93"/>
      <c r="U781" s="92"/>
      <c r="V781" s="94"/>
    </row>
    <row r="782" spans="19:22" ht="12.5">
      <c r="S782" s="92"/>
      <c r="T782" s="93"/>
      <c r="U782" s="92"/>
      <c r="V782" s="94"/>
    </row>
    <row r="783" spans="19:22" ht="12.5">
      <c r="S783" s="92"/>
      <c r="T783" s="93"/>
      <c r="U783" s="92"/>
      <c r="V783" s="94"/>
    </row>
    <row r="784" spans="19:22" ht="12.5">
      <c r="S784" s="92"/>
      <c r="T784" s="93"/>
      <c r="U784" s="92"/>
      <c r="V784" s="94"/>
    </row>
    <row r="785" spans="19:22" ht="12.5">
      <c r="S785" s="92"/>
      <c r="T785" s="93"/>
      <c r="U785" s="92"/>
      <c r="V785" s="94"/>
    </row>
    <row r="786" spans="19:22" ht="12.5">
      <c r="S786" s="92"/>
      <c r="T786" s="93"/>
      <c r="U786" s="92"/>
      <c r="V786" s="94"/>
    </row>
    <row r="787" spans="19:22" ht="12.5">
      <c r="S787" s="92"/>
      <c r="T787" s="93"/>
      <c r="U787" s="92"/>
      <c r="V787" s="94"/>
    </row>
    <row r="788" spans="19:22" ht="12.5">
      <c r="S788" s="92"/>
      <c r="T788" s="93"/>
      <c r="U788" s="92"/>
      <c r="V788" s="94"/>
    </row>
    <row r="789" spans="19:22" ht="12.5">
      <c r="S789" s="92"/>
      <c r="T789" s="93"/>
      <c r="U789" s="92"/>
      <c r="V789" s="94"/>
    </row>
    <row r="790" spans="19:22" ht="12.5">
      <c r="S790" s="92"/>
      <c r="T790" s="93"/>
      <c r="U790" s="92"/>
      <c r="V790" s="94"/>
    </row>
    <row r="791" spans="19:22" ht="12.5">
      <c r="S791" s="92"/>
      <c r="T791" s="93"/>
      <c r="U791" s="92"/>
      <c r="V791" s="94"/>
    </row>
    <row r="792" spans="19:22" ht="12.5">
      <c r="S792" s="92"/>
      <c r="T792" s="93"/>
      <c r="U792" s="92"/>
      <c r="V792" s="94"/>
    </row>
    <row r="793" spans="19:22" ht="12.5">
      <c r="S793" s="92"/>
      <c r="T793" s="93"/>
      <c r="U793" s="92"/>
      <c r="V793" s="94"/>
    </row>
    <row r="794" spans="19:22" ht="12.5">
      <c r="S794" s="92"/>
      <c r="T794" s="93"/>
      <c r="U794" s="92"/>
      <c r="V794" s="94"/>
    </row>
    <row r="795" spans="19:22" ht="12.5">
      <c r="S795" s="92"/>
      <c r="T795" s="93"/>
      <c r="U795" s="92"/>
      <c r="V795" s="94"/>
    </row>
    <row r="796" spans="19:22" ht="12.5">
      <c r="S796" s="92"/>
      <c r="T796" s="93"/>
      <c r="U796" s="92"/>
      <c r="V796" s="94"/>
    </row>
    <row r="797" spans="19:22" ht="12.5">
      <c r="S797" s="92"/>
      <c r="T797" s="93"/>
      <c r="U797" s="92"/>
      <c r="V797" s="94"/>
    </row>
    <row r="798" spans="19:22" ht="12.5">
      <c r="S798" s="92"/>
      <c r="T798" s="93"/>
      <c r="U798" s="92"/>
      <c r="V798" s="94"/>
    </row>
    <row r="799" spans="19:22" ht="12.5">
      <c r="S799" s="92"/>
      <c r="T799" s="93"/>
      <c r="U799" s="92"/>
      <c r="V799" s="94"/>
    </row>
    <row r="800" spans="19:22" ht="12.5">
      <c r="S800" s="92"/>
      <c r="T800" s="93"/>
      <c r="U800" s="92"/>
      <c r="V800" s="94"/>
    </row>
    <row r="801" spans="19:22" ht="12.5">
      <c r="S801" s="92"/>
      <c r="T801" s="93"/>
      <c r="U801" s="92"/>
      <c r="V801" s="94"/>
    </row>
    <row r="802" spans="19:22" ht="12.5">
      <c r="S802" s="92"/>
      <c r="T802" s="93"/>
      <c r="U802" s="92"/>
      <c r="V802" s="94"/>
    </row>
    <row r="803" spans="19:22" ht="12.5">
      <c r="S803" s="92"/>
      <c r="T803" s="93"/>
      <c r="U803" s="92"/>
      <c r="V803" s="94"/>
    </row>
    <row r="804" spans="19:22" ht="12.5">
      <c r="S804" s="92"/>
      <c r="T804" s="93"/>
      <c r="U804" s="92"/>
      <c r="V804" s="94"/>
    </row>
    <row r="805" spans="19:22" ht="12.5">
      <c r="S805" s="92"/>
      <c r="T805" s="93"/>
      <c r="U805" s="92"/>
      <c r="V805" s="94"/>
    </row>
    <row r="806" spans="19:22" ht="12.5">
      <c r="S806" s="92"/>
      <c r="T806" s="93"/>
      <c r="U806" s="92"/>
      <c r="V806" s="94"/>
    </row>
    <row r="807" spans="19:22" ht="12.5">
      <c r="S807" s="92"/>
      <c r="T807" s="93"/>
      <c r="U807" s="92"/>
      <c r="V807" s="94"/>
    </row>
    <row r="808" spans="19:22" ht="12.5">
      <c r="S808" s="92"/>
      <c r="T808" s="93"/>
      <c r="U808" s="92"/>
      <c r="V808" s="94"/>
    </row>
    <row r="809" spans="19:22" ht="12.5">
      <c r="S809" s="92"/>
      <c r="T809" s="93"/>
      <c r="U809" s="92"/>
      <c r="V809" s="94"/>
    </row>
    <row r="810" spans="19:22" ht="12.5">
      <c r="S810" s="92"/>
      <c r="T810" s="93"/>
      <c r="U810" s="92"/>
      <c r="V810" s="94"/>
    </row>
    <row r="811" spans="19:22" ht="12.5">
      <c r="S811" s="92"/>
      <c r="T811" s="93"/>
      <c r="U811" s="92"/>
      <c r="V811" s="94"/>
    </row>
    <row r="812" spans="19:22" ht="12.5">
      <c r="S812" s="92"/>
      <c r="T812" s="93"/>
      <c r="U812" s="92"/>
      <c r="V812" s="94"/>
    </row>
    <row r="813" spans="19:22" ht="12.5">
      <c r="S813" s="92"/>
      <c r="T813" s="93"/>
      <c r="U813" s="92"/>
      <c r="V813" s="94"/>
    </row>
    <row r="814" spans="19:22" ht="12.5">
      <c r="S814" s="92"/>
      <c r="T814" s="93"/>
      <c r="U814" s="92"/>
      <c r="V814" s="94"/>
    </row>
    <row r="815" spans="19:22" ht="12.5">
      <c r="S815" s="92"/>
      <c r="T815" s="93"/>
      <c r="U815" s="92"/>
      <c r="V815" s="94"/>
    </row>
    <row r="816" spans="19:22" ht="12.5">
      <c r="S816" s="92"/>
      <c r="T816" s="93"/>
      <c r="U816" s="92"/>
      <c r="V816" s="94"/>
    </row>
    <row r="817" spans="19:22" ht="12.5">
      <c r="S817" s="92"/>
      <c r="T817" s="93"/>
      <c r="U817" s="92"/>
      <c r="V817" s="94"/>
    </row>
    <row r="818" spans="19:22" ht="12.5">
      <c r="S818" s="92"/>
      <c r="T818" s="93"/>
      <c r="U818" s="92"/>
      <c r="V818" s="94"/>
    </row>
    <row r="819" spans="19:22" ht="12.5">
      <c r="S819" s="92"/>
      <c r="T819" s="93"/>
      <c r="U819" s="92"/>
      <c r="V819" s="94"/>
    </row>
    <row r="820" spans="19:22" ht="12.5">
      <c r="S820" s="92"/>
      <c r="T820" s="93"/>
      <c r="U820" s="92"/>
      <c r="V820" s="94"/>
    </row>
    <row r="821" spans="19:22" ht="12.5">
      <c r="S821" s="92"/>
      <c r="T821" s="93"/>
      <c r="U821" s="92"/>
      <c r="V821" s="94"/>
    </row>
    <row r="822" spans="19:22" ht="12.5">
      <c r="S822" s="92"/>
      <c r="T822" s="93"/>
      <c r="U822" s="92"/>
      <c r="V822" s="94"/>
    </row>
    <row r="823" spans="19:22" ht="12.5">
      <c r="S823" s="92"/>
      <c r="T823" s="93"/>
      <c r="U823" s="92"/>
      <c r="V823" s="94"/>
    </row>
    <row r="824" spans="19:22" ht="12.5">
      <c r="S824" s="92"/>
      <c r="T824" s="93"/>
      <c r="U824" s="92"/>
      <c r="V824" s="94"/>
    </row>
    <row r="825" spans="19:22" ht="12.5">
      <c r="S825" s="92"/>
      <c r="T825" s="93"/>
      <c r="U825" s="92"/>
      <c r="V825" s="94"/>
    </row>
    <row r="826" spans="19:22" ht="12.5">
      <c r="S826" s="92"/>
      <c r="T826" s="93"/>
      <c r="U826" s="92"/>
      <c r="V826" s="94"/>
    </row>
    <row r="827" spans="19:22" ht="12.5">
      <c r="S827" s="92"/>
      <c r="T827" s="93"/>
      <c r="U827" s="92"/>
      <c r="V827" s="94"/>
    </row>
    <row r="828" spans="19:22" ht="12.5">
      <c r="S828" s="92"/>
      <c r="T828" s="93"/>
      <c r="U828" s="92"/>
      <c r="V828" s="94"/>
    </row>
    <row r="829" spans="19:22" ht="12.5">
      <c r="S829" s="92"/>
      <c r="T829" s="93"/>
      <c r="U829" s="92"/>
      <c r="V829" s="94"/>
    </row>
    <row r="830" spans="19:22" ht="12.5">
      <c r="S830" s="92"/>
      <c r="T830" s="93"/>
      <c r="U830" s="92"/>
      <c r="V830" s="94"/>
    </row>
    <row r="831" spans="19:22" ht="12.5">
      <c r="S831" s="92"/>
      <c r="T831" s="93"/>
      <c r="U831" s="92"/>
      <c r="V831" s="94"/>
    </row>
    <row r="832" spans="19:22" ht="12.5">
      <c r="S832" s="92"/>
      <c r="T832" s="93"/>
      <c r="U832" s="92"/>
      <c r="V832" s="94"/>
    </row>
    <row r="833" spans="19:22" ht="12.5">
      <c r="S833" s="92"/>
      <c r="T833" s="93"/>
      <c r="U833" s="92"/>
      <c r="V833" s="94"/>
    </row>
    <row r="834" spans="19:22" ht="12.5">
      <c r="S834" s="92"/>
      <c r="T834" s="93"/>
      <c r="U834" s="92"/>
      <c r="V834" s="94"/>
    </row>
    <row r="835" spans="19:22" ht="12.5">
      <c r="S835" s="92"/>
      <c r="T835" s="93"/>
      <c r="U835" s="92"/>
      <c r="V835" s="94"/>
    </row>
    <row r="836" spans="19:22" ht="12.5">
      <c r="S836" s="92"/>
      <c r="T836" s="93"/>
      <c r="U836" s="92"/>
      <c r="V836" s="94"/>
    </row>
    <row r="837" spans="19:22" ht="12.5">
      <c r="S837" s="92"/>
      <c r="T837" s="93"/>
      <c r="U837" s="92"/>
      <c r="V837" s="94"/>
    </row>
    <row r="838" spans="19:22" ht="12.5">
      <c r="S838" s="92"/>
      <c r="T838" s="93"/>
      <c r="U838" s="92"/>
      <c r="V838" s="94"/>
    </row>
    <row r="839" spans="19:22" ht="12.5">
      <c r="S839" s="92"/>
      <c r="T839" s="93"/>
      <c r="U839" s="92"/>
      <c r="V839" s="94"/>
    </row>
    <row r="840" spans="19:22" ht="12.5">
      <c r="S840" s="92"/>
      <c r="T840" s="93"/>
      <c r="U840" s="92"/>
      <c r="V840" s="94"/>
    </row>
    <row r="841" spans="19:22" ht="12.5">
      <c r="S841" s="92"/>
      <c r="T841" s="93"/>
      <c r="U841" s="92"/>
      <c r="V841" s="94"/>
    </row>
    <row r="842" spans="19:22" ht="12.5">
      <c r="S842" s="92"/>
      <c r="T842" s="93"/>
      <c r="U842" s="92"/>
      <c r="V842" s="94"/>
    </row>
    <row r="843" spans="19:22" ht="12.5">
      <c r="S843" s="92"/>
      <c r="T843" s="93"/>
      <c r="U843" s="92"/>
      <c r="V843" s="94"/>
    </row>
    <row r="844" spans="19:22" ht="12.5">
      <c r="S844" s="92"/>
      <c r="T844" s="93"/>
      <c r="U844" s="92"/>
      <c r="V844" s="94"/>
    </row>
    <row r="845" spans="19:22" ht="12.5">
      <c r="S845" s="92"/>
      <c r="T845" s="93"/>
      <c r="U845" s="92"/>
      <c r="V845" s="94"/>
    </row>
    <row r="846" spans="19:22" ht="12.5">
      <c r="S846" s="92"/>
      <c r="T846" s="93"/>
      <c r="U846" s="92"/>
      <c r="V846" s="94"/>
    </row>
    <row r="847" spans="19:22" ht="12.5">
      <c r="S847" s="92"/>
      <c r="T847" s="93"/>
      <c r="U847" s="92"/>
      <c r="V847" s="94"/>
    </row>
    <row r="848" spans="19:22" ht="12.5">
      <c r="S848" s="92"/>
      <c r="T848" s="93"/>
      <c r="U848" s="92"/>
      <c r="V848" s="94"/>
    </row>
    <row r="849" spans="19:22" ht="12.5">
      <c r="S849" s="92"/>
      <c r="T849" s="93"/>
      <c r="U849" s="92"/>
      <c r="V849" s="94"/>
    </row>
    <row r="850" spans="19:22" ht="12.5">
      <c r="S850" s="92"/>
      <c r="T850" s="93"/>
      <c r="U850" s="92"/>
      <c r="V850" s="94"/>
    </row>
    <row r="851" spans="19:22" ht="12.5">
      <c r="S851" s="92"/>
      <c r="T851" s="93"/>
      <c r="U851" s="92"/>
      <c r="V851" s="94"/>
    </row>
    <row r="852" spans="19:22" ht="12.5">
      <c r="S852" s="92"/>
      <c r="T852" s="93"/>
      <c r="U852" s="92"/>
      <c r="V852" s="94"/>
    </row>
    <row r="853" spans="19:22" ht="12.5">
      <c r="S853" s="92"/>
      <c r="T853" s="93"/>
      <c r="U853" s="92"/>
      <c r="V853" s="94"/>
    </row>
    <row r="854" spans="19:22" ht="12.5">
      <c r="S854" s="92"/>
      <c r="T854" s="93"/>
      <c r="U854" s="92"/>
      <c r="V854" s="94"/>
    </row>
    <row r="855" spans="19:22" ht="12.5">
      <c r="S855" s="92"/>
      <c r="T855" s="93"/>
      <c r="U855" s="92"/>
      <c r="V855" s="94"/>
    </row>
    <row r="856" spans="19:22" ht="12.5">
      <c r="S856" s="92"/>
      <c r="T856" s="93"/>
      <c r="U856" s="92"/>
      <c r="V856" s="94"/>
    </row>
    <row r="857" spans="19:22" ht="12.5">
      <c r="S857" s="92"/>
      <c r="T857" s="93"/>
      <c r="U857" s="92"/>
      <c r="V857" s="94"/>
    </row>
    <row r="858" spans="19:22" ht="12.5">
      <c r="S858" s="92"/>
      <c r="T858" s="93"/>
      <c r="U858" s="92"/>
      <c r="V858" s="94"/>
    </row>
    <row r="859" spans="19:22" ht="12.5">
      <c r="S859" s="92"/>
      <c r="T859" s="93"/>
      <c r="U859" s="92"/>
      <c r="V859" s="94"/>
    </row>
    <row r="860" spans="19:22" ht="12.5">
      <c r="S860" s="92"/>
      <c r="T860" s="93"/>
      <c r="U860" s="92"/>
      <c r="V860" s="94"/>
    </row>
    <row r="861" spans="19:22" ht="12.5">
      <c r="S861" s="92"/>
      <c r="T861" s="93"/>
      <c r="U861" s="92"/>
      <c r="V861" s="94"/>
    </row>
    <row r="862" spans="19:22" ht="12.5">
      <c r="S862" s="92"/>
      <c r="T862" s="93"/>
      <c r="U862" s="92"/>
      <c r="V862" s="94"/>
    </row>
    <row r="863" spans="19:22" ht="12.5">
      <c r="S863" s="92"/>
      <c r="T863" s="93"/>
      <c r="U863" s="92"/>
      <c r="V863" s="94"/>
    </row>
    <row r="864" spans="19:22" ht="12.5">
      <c r="S864" s="92"/>
      <c r="T864" s="93"/>
      <c r="U864" s="92"/>
      <c r="V864" s="94"/>
    </row>
    <row r="865" spans="19:22" ht="12.5">
      <c r="S865" s="92"/>
      <c r="T865" s="93"/>
      <c r="U865" s="92"/>
      <c r="V865" s="94"/>
    </row>
    <row r="866" spans="19:22" ht="12.5">
      <c r="S866" s="92"/>
      <c r="T866" s="93"/>
      <c r="U866" s="92"/>
      <c r="V866" s="94"/>
    </row>
    <row r="867" spans="19:22" ht="12.5">
      <c r="S867" s="92"/>
      <c r="T867" s="93"/>
      <c r="U867" s="92"/>
      <c r="V867" s="94"/>
    </row>
    <row r="868" spans="19:22" ht="12.5">
      <c r="S868" s="92"/>
      <c r="T868" s="93"/>
      <c r="U868" s="92"/>
      <c r="V868" s="94"/>
    </row>
    <row r="869" spans="19:22" ht="12.5">
      <c r="S869" s="92"/>
      <c r="T869" s="93"/>
      <c r="U869" s="92"/>
      <c r="V869" s="94"/>
    </row>
    <row r="870" spans="19:22" ht="12.5">
      <c r="S870" s="92"/>
      <c r="T870" s="93"/>
      <c r="U870" s="92"/>
      <c r="V870" s="94"/>
    </row>
    <row r="871" spans="19:22" ht="12.5">
      <c r="S871" s="92"/>
      <c r="T871" s="93"/>
      <c r="U871" s="92"/>
      <c r="V871" s="94"/>
    </row>
    <row r="872" spans="19:22" ht="12.5">
      <c r="S872" s="92"/>
      <c r="T872" s="93"/>
      <c r="U872" s="92"/>
      <c r="V872" s="94"/>
    </row>
    <row r="873" spans="19:22" ht="12.5">
      <c r="S873" s="92"/>
      <c r="T873" s="93"/>
      <c r="U873" s="92"/>
      <c r="V873" s="94"/>
    </row>
    <row r="874" spans="19:22" ht="12.5">
      <c r="S874" s="92"/>
      <c r="T874" s="93"/>
      <c r="U874" s="92"/>
      <c r="V874" s="94"/>
    </row>
    <row r="875" spans="19:22" ht="12.5">
      <c r="S875" s="92"/>
      <c r="T875" s="93"/>
      <c r="U875" s="92"/>
      <c r="V875" s="94"/>
    </row>
    <row r="876" spans="19:22" ht="12.5">
      <c r="S876" s="92"/>
      <c r="T876" s="93"/>
      <c r="U876" s="92"/>
      <c r="V876" s="94"/>
    </row>
    <row r="877" spans="19:22" ht="12.5">
      <c r="S877" s="92"/>
      <c r="T877" s="93"/>
      <c r="U877" s="92"/>
      <c r="V877" s="94"/>
    </row>
    <row r="878" spans="19:22" ht="12.5">
      <c r="S878" s="92"/>
      <c r="T878" s="93"/>
      <c r="U878" s="92"/>
      <c r="V878" s="94"/>
    </row>
    <row r="879" spans="19:22" ht="12.5">
      <c r="S879" s="92"/>
      <c r="T879" s="93"/>
      <c r="U879" s="92"/>
      <c r="V879" s="94"/>
    </row>
    <row r="880" spans="19:22" ht="12.5">
      <c r="S880" s="92"/>
      <c r="T880" s="93"/>
      <c r="U880" s="92"/>
      <c r="V880" s="94"/>
    </row>
    <row r="881" spans="19:22" ht="12.5">
      <c r="S881" s="92"/>
      <c r="T881" s="93"/>
      <c r="U881" s="92"/>
      <c r="V881" s="94"/>
    </row>
    <row r="882" spans="19:22" ht="12.5">
      <c r="S882" s="92"/>
      <c r="T882" s="93"/>
      <c r="U882" s="92"/>
      <c r="V882" s="94"/>
    </row>
    <row r="883" spans="19:22" ht="12.5">
      <c r="S883" s="92"/>
      <c r="T883" s="93"/>
      <c r="U883" s="92"/>
      <c r="V883" s="94"/>
    </row>
    <row r="884" spans="19:22" ht="12.5">
      <c r="S884" s="92"/>
      <c r="T884" s="93"/>
      <c r="U884" s="92"/>
      <c r="V884" s="94"/>
    </row>
    <row r="885" spans="19:22" ht="12.5">
      <c r="S885" s="92"/>
      <c r="T885" s="93"/>
      <c r="U885" s="92"/>
      <c r="V885" s="94"/>
    </row>
    <row r="886" spans="19:22" ht="12.5">
      <c r="S886" s="92"/>
      <c r="T886" s="93"/>
      <c r="U886" s="92"/>
      <c r="V886" s="94"/>
    </row>
    <row r="887" spans="19:22" ht="12.5">
      <c r="S887" s="92"/>
      <c r="T887" s="93"/>
      <c r="U887" s="92"/>
      <c r="V887" s="94"/>
    </row>
    <row r="888" spans="19:22" ht="12.5">
      <c r="S888" s="92"/>
      <c r="T888" s="93"/>
      <c r="U888" s="92"/>
      <c r="V888" s="94"/>
    </row>
    <row r="889" spans="19:22" ht="12.5">
      <c r="S889" s="92"/>
      <c r="T889" s="93"/>
      <c r="U889" s="92"/>
      <c r="V889" s="94"/>
    </row>
    <row r="890" spans="19:22" ht="12.5">
      <c r="S890" s="92"/>
      <c r="T890" s="93"/>
      <c r="U890" s="92"/>
      <c r="V890" s="94"/>
    </row>
    <row r="891" spans="19:22" ht="12.5">
      <c r="S891" s="92"/>
      <c r="T891" s="93"/>
      <c r="U891" s="92"/>
      <c r="V891" s="94"/>
    </row>
    <row r="892" spans="19:22" ht="12.5">
      <c r="S892" s="92"/>
      <c r="T892" s="93"/>
      <c r="U892" s="92"/>
      <c r="V892" s="94"/>
    </row>
    <row r="893" spans="19:22" ht="12.5">
      <c r="S893" s="92"/>
      <c r="T893" s="93"/>
      <c r="U893" s="92"/>
      <c r="V893" s="94"/>
    </row>
    <row r="894" spans="19:22" ht="12.5">
      <c r="S894" s="92"/>
      <c r="T894" s="93"/>
      <c r="U894" s="92"/>
      <c r="V894" s="94"/>
    </row>
    <row r="895" spans="19:22" ht="12.5">
      <c r="S895" s="92"/>
      <c r="T895" s="93"/>
      <c r="U895" s="92"/>
      <c r="V895" s="94"/>
    </row>
    <row r="896" spans="19:22" ht="12.5">
      <c r="S896" s="92"/>
      <c r="T896" s="93"/>
      <c r="U896" s="92"/>
      <c r="V896" s="94"/>
    </row>
    <row r="897" spans="19:22" ht="12.5">
      <c r="S897" s="92"/>
      <c r="T897" s="93"/>
      <c r="U897" s="92"/>
      <c r="V897" s="94"/>
    </row>
    <row r="898" spans="19:22" ht="12.5">
      <c r="S898" s="92"/>
      <c r="T898" s="93"/>
      <c r="U898" s="92"/>
      <c r="V898" s="94"/>
    </row>
    <row r="899" spans="19:22" ht="12.5">
      <c r="S899" s="92"/>
      <c r="T899" s="93"/>
      <c r="U899" s="92"/>
      <c r="V899" s="94"/>
    </row>
    <row r="900" spans="19:22" ht="12.5">
      <c r="S900" s="92"/>
      <c r="T900" s="93"/>
      <c r="U900" s="92"/>
      <c r="V900" s="94"/>
    </row>
    <row r="901" spans="19:22" ht="12.5">
      <c r="S901" s="92"/>
      <c r="T901" s="93"/>
      <c r="U901" s="92"/>
      <c r="V901" s="94"/>
    </row>
    <row r="902" spans="19:22" ht="12.5">
      <c r="S902" s="92"/>
      <c r="T902" s="93"/>
      <c r="U902" s="92"/>
      <c r="V902" s="94"/>
    </row>
    <row r="903" spans="19:22" ht="12.5">
      <c r="S903" s="92"/>
      <c r="T903" s="93"/>
      <c r="U903" s="92"/>
      <c r="V903" s="94"/>
    </row>
    <row r="904" spans="19:22" ht="12.5">
      <c r="S904" s="92"/>
      <c r="T904" s="93"/>
      <c r="U904" s="92"/>
      <c r="V904" s="94"/>
    </row>
    <row r="905" spans="19:22" ht="12.5">
      <c r="S905" s="92"/>
      <c r="T905" s="93"/>
      <c r="U905" s="92"/>
      <c r="V905" s="94"/>
    </row>
    <row r="906" spans="19:22" ht="12.5">
      <c r="S906" s="92"/>
      <c r="T906" s="93"/>
      <c r="U906" s="92"/>
      <c r="V906" s="94"/>
    </row>
    <row r="907" spans="19:22" ht="12.5">
      <c r="S907" s="92"/>
      <c r="T907" s="93"/>
      <c r="U907" s="92"/>
      <c r="V907" s="94"/>
    </row>
    <row r="908" spans="19:22" ht="12.5">
      <c r="S908" s="92"/>
      <c r="T908" s="93"/>
      <c r="U908" s="92"/>
      <c r="V908" s="94"/>
    </row>
    <row r="909" spans="19:22" ht="12.5">
      <c r="S909" s="92"/>
      <c r="T909" s="93"/>
      <c r="U909" s="92"/>
      <c r="V909" s="94"/>
    </row>
    <row r="910" spans="19:22" ht="12.5">
      <c r="S910" s="92"/>
      <c r="T910" s="93"/>
      <c r="U910" s="92"/>
      <c r="V910" s="94"/>
    </row>
    <row r="911" spans="19:22" ht="12.5">
      <c r="S911" s="92"/>
      <c r="T911" s="93"/>
      <c r="U911" s="92"/>
      <c r="V911" s="94"/>
    </row>
    <row r="912" spans="19:22" ht="12.5">
      <c r="S912" s="92"/>
      <c r="T912" s="93"/>
      <c r="U912" s="92"/>
      <c r="V912" s="94"/>
    </row>
    <row r="913" spans="19:22" ht="12.5">
      <c r="S913" s="92"/>
      <c r="T913" s="93"/>
      <c r="U913" s="92"/>
      <c r="V913" s="94"/>
    </row>
    <row r="914" spans="19:22" ht="12.5">
      <c r="S914" s="92"/>
      <c r="T914" s="93"/>
      <c r="U914" s="92"/>
      <c r="V914" s="94"/>
    </row>
    <row r="915" spans="19:22" ht="12.5">
      <c r="S915" s="92"/>
      <c r="T915" s="93"/>
      <c r="U915" s="92"/>
      <c r="V915" s="94"/>
    </row>
    <row r="916" spans="19:22" ht="12.5">
      <c r="S916" s="92"/>
      <c r="T916" s="93"/>
      <c r="U916" s="92"/>
      <c r="V916" s="94"/>
    </row>
    <row r="917" spans="19:22" ht="12.5">
      <c r="S917" s="92"/>
      <c r="T917" s="93"/>
      <c r="U917" s="92"/>
      <c r="V917" s="94"/>
    </row>
    <row r="918" spans="19:22" ht="12.5">
      <c r="S918" s="92"/>
      <c r="T918" s="93"/>
      <c r="U918" s="92"/>
      <c r="V918" s="94"/>
    </row>
    <row r="919" spans="19:22" ht="12.5">
      <c r="S919" s="92"/>
      <c r="T919" s="93"/>
      <c r="U919" s="92"/>
      <c r="V919" s="94"/>
    </row>
    <row r="920" spans="19:22" ht="12.5">
      <c r="S920" s="92"/>
      <c r="T920" s="93"/>
      <c r="U920" s="92"/>
      <c r="V920" s="94"/>
    </row>
    <row r="921" spans="19:22" ht="12.5">
      <c r="S921" s="92"/>
      <c r="T921" s="93"/>
      <c r="U921" s="92"/>
      <c r="V921" s="94"/>
    </row>
    <row r="922" spans="19:22" ht="12.5">
      <c r="S922" s="92"/>
      <c r="T922" s="93"/>
      <c r="U922" s="92"/>
      <c r="V922" s="94"/>
    </row>
    <row r="923" spans="19:22" ht="12.5">
      <c r="S923" s="92"/>
      <c r="T923" s="93"/>
      <c r="U923" s="92"/>
      <c r="V923" s="94"/>
    </row>
    <row r="924" spans="19:22" ht="12.5">
      <c r="S924" s="92"/>
      <c r="T924" s="93"/>
      <c r="U924" s="92"/>
      <c r="V924" s="94"/>
    </row>
    <row r="925" spans="19:22" ht="12.5">
      <c r="S925" s="92"/>
      <c r="T925" s="93"/>
      <c r="U925" s="92"/>
      <c r="V925" s="94"/>
    </row>
    <row r="926" spans="19:22" ht="12.5">
      <c r="S926" s="92"/>
      <c r="T926" s="93"/>
      <c r="U926" s="92"/>
      <c r="V926" s="94"/>
    </row>
    <row r="927" spans="19:22" ht="12.5">
      <c r="S927" s="92"/>
      <c r="T927" s="93"/>
      <c r="U927" s="92"/>
      <c r="V927" s="94"/>
    </row>
    <row r="928" spans="19:22" ht="12.5">
      <c r="S928" s="92"/>
      <c r="T928" s="93"/>
      <c r="U928" s="92"/>
      <c r="V928" s="94"/>
    </row>
    <row r="929" spans="19:22" ht="12.5">
      <c r="S929" s="92"/>
      <c r="T929" s="93"/>
      <c r="U929" s="92"/>
      <c r="V929" s="94"/>
    </row>
    <row r="930" spans="19:22" ht="12.5">
      <c r="S930" s="92"/>
      <c r="T930" s="93"/>
      <c r="U930" s="92"/>
      <c r="V930" s="94"/>
    </row>
    <row r="931" spans="19:22" ht="12.5">
      <c r="S931" s="92"/>
      <c r="T931" s="93"/>
      <c r="U931" s="92"/>
      <c r="V931" s="94"/>
    </row>
    <row r="932" spans="19:22" ht="12.5">
      <c r="S932" s="92"/>
      <c r="T932" s="93"/>
      <c r="U932" s="92"/>
      <c r="V932" s="94"/>
    </row>
    <row r="933" spans="19:22" ht="12.5">
      <c r="S933" s="92"/>
      <c r="T933" s="93"/>
      <c r="U933" s="92"/>
      <c r="V933" s="94"/>
    </row>
    <row r="934" spans="19:22" ht="12.5">
      <c r="S934" s="92"/>
      <c r="T934" s="93"/>
      <c r="U934" s="92"/>
      <c r="V934" s="94"/>
    </row>
    <row r="935" spans="19:22" ht="12.5">
      <c r="S935" s="92"/>
      <c r="T935" s="93"/>
      <c r="U935" s="92"/>
      <c r="V935" s="94"/>
    </row>
    <row r="936" spans="19:22" ht="12.5">
      <c r="S936" s="92"/>
      <c r="T936" s="93"/>
      <c r="U936" s="92"/>
      <c r="V936" s="94"/>
    </row>
    <row r="937" spans="19:22" ht="12.5">
      <c r="S937" s="92"/>
      <c r="T937" s="93"/>
      <c r="U937" s="92"/>
      <c r="V937" s="94"/>
    </row>
    <row r="938" spans="19:22" ht="12.5">
      <c r="S938" s="92"/>
      <c r="T938" s="93"/>
      <c r="U938" s="92"/>
      <c r="V938" s="94"/>
    </row>
    <row r="939" spans="19:22" ht="12.5">
      <c r="S939" s="92"/>
      <c r="T939" s="93"/>
      <c r="U939" s="92"/>
      <c r="V939" s="94"/>
    </row>
    <row r="940" spans="19:22" ht="12.5">
      <c r="S940" s="92"/>
      <c r="T940" s="93"/>
      <c r="U940" s="92"/>
      <c r="V940" s="94"/>
    </row>
    <row r="941" spans="19:22" ht="12.5">
      <c r="S941" s="92"/>
      <c r="T941" s="93"/>
      <c r="U941" s="92"/>
      <c r="V941" s="94"/>
    </row>
    <row r="942" spans="19:22" ht="12.5">
      <c r="S942" s="92"/>
      <c r="T942" s="93"/>
      <c r="U942" s="92"/>
      <c r="V942" s="94"/>
    </row>
    <row r="943" spans="19:22" ht="12.5">
      <c r="S943" s="92"/>
      <c r="T943" s="93"/>
      <c r="U943" s="92"/>
      <c r="V943" s="94"/>
    </row>
    <row r="944" spans="19:22" ht="12.5">
      <c r="S944" s="92"/>
      <c r="T944" s="93"/>
      <c r="U944" s="92"/>
      <c r="V944" s="94"/>
    </row>
    <row r="945" spans="19:22" ht="12.5">
      <c r="S945" s="92"/>
      <c r="T945" s="93"/>
      <c r="U945" s="92"/>
      <c r="V945" s="94"/>
    </row>
    <row r="946" spans="19:22" ht="12.5">
      <c r="S946" s="92"/>
      <c r="T946" s="93"/>
      <c r="U946" s="92"/>
      <c r="V946" s="94"/>
    </row>
    <row r="947" spans="19:22" ht="12.5">
      <c r="S947" s="92"/>
      <c r="T947" s="93"/>
      <c r="U947" s="92"/>
      <c r="V947" s="94"/>
    </row>
    <row r="948" spans="19:22" ht="12.5">
      <c r="S948" s="92"/>
      <c r="T948" s="93"/>
      <c r="U948" s="92"/>
      <c r="V948" s="94"/>
    </row>
    <row r="949" spans="19:22" ht="12.5">
      <c r="S949" s="92"/>
      <c r="T949" s="93"/>
      <c r="U949" s="92"/>
      <c r="V949" s="94"/>
    </row>
    <row r="950" spans="19:22" ht="12.5">
      <c r="S950" s="92"/>
      <c r="T950" s="93"/>
      <c r="U950" s="92"/>
      <c r="V950" s="94"/>
    </row>
    <row r="951" spans="19:22" ht="12.5">
      <c r="S951" s="92"/>
      <c r="T951" s="93"/>
      <c r="U951" s="92"/>
      <c r="V951" s="94"/>
    </row>
    <row r="952" spans="19:22" ht="12.5">
      <c r="S952" s="92"/>
      <c r="T952" s="93"/>
      <c r="U952" s="92"/>
      <c r="V952" s="94"/>
    </row>
    <row r="953" spans="19:22" ht="12.5">
      <c r="S953" s="92"/>
      <c r="T953" s="93"/>
      <c r="U953" s="92"/>
      <c r="V953" s="94"/>
    </row>
    <row r="954" spans="19:22" ht="12.5">
      <c r="S954" s="92"/>
      <c r="T954" s="93"/>
      <c r="U954" s="92"/>
      <c r="V954" s="94"/>
    </row>
    <row r="955" spans="19:22" ht="12.5">
      <c r="S955" s="92"/>
      <c r="T955" s="93"/>
      <c r="U955" s="92"/>
      <c r="V955" s="94"/>
    </row>
    <row r="956" spans="19:22" ht="12.5">
      <c r="S956" s="92"/>
      <c r="T956" s="93"/>
      <c r="U956" s="92"/>
      <c r="V956" s="94"/>
    </row>
    <row r="957" spans="19:22" ht="12.5">
      <c r="S957" s="92"/>
      <c r="T957" s="93"/>
      <c r="U957" s="92"/>
      <c r="V957" s="94"/>
    </row>
    <row r="958" spans="19:22" ht="12.5">
      <c r="S958" s="92"/>
      <c r="T958" s="93"/>
      <c r="U958" s="92"/>
      <c r="V958" s="94"/>
    </row>
    <row r="959" spans="19:22" ht="12.5">
      <c r="S959" s="92"/>
      <c r="T959" s="93"/>
      <c r="U959" s="92"/>
      <c r="V959" s="94"/>
    </row>
    <row r="960" spans="19:22" ht="12.5">
      <c r="S960" s="92"/>
      <c r="T960" s="93"/>
      <c r="U960" s="92"/>
      <c r="V960" s="94"/>
    </row>
    <row r="961" spans="19:22" ht="12.5">
      <c r="S961" s="92"/>
      <c r="T961" s="93"/>
      <c r="U961" s="92"/>
      <c r="V961" s="94"/>
    </row>
    <row r="962" spans="19:22" ht="12.5">
      <c r="S962" s="92"/>
      <c r="T962" s="93"/>
      <c r="U962" s="92"/>
      <c r="V962" s="94"/>
    </row>
    <row r="963" spans="19:22" ht="12.5">
      <c r="S963" s="92"/>
      <c r="T963" s="93"/>
      <c r="U963" s="92"/>
      <c r="V963" s="94"/>
    </row>
    <row r="964" spans="19:22" ht="12.5">
      <c r="S964" s="92"/>
      <c r="T964" s="93"/>
      <c r="U964" s="92"/>
      <c r="V964" s="94"/>
    </row>
    <row r="965" spans="19:22" ht="12.5">
      <c r="S965" s="92"/>
      <c r="T965" s="93"/>
      <c r="U965" s="92"/>
      <c r="V965" s="94"/>
    </row>
    <row r="966" spans="19:22" ht="12.5">
      <c r="S966" s="92"/>
      <c r="T966" s="93"/>
      <c r="U966" s="92"/>
      <c r="V966" s="94"/>
    </row>
    <row r="967" spans="19:22" ht="12.5">
      <c r="S967" s="92"/>
      <c r="T967" s="93"/>
      <c r="U967" s="92"/>
      <c r="V967" s="94"/>
    </row>
    <row r="968" spans="19:22" ht="12.5">
      <c r="S968" s="92"/>
      <c r="T968" s="93"/>
      <c r="U968" s="92"/>
      <c r="V968" s="94"/>
    </row>
    <row r="969" spans="19:22" ht="12.5">
      <c r="S969" s="92"/>
      <c r="T969" s="93"/>
      <c r="U969" s="92"/>
      <c r="V969" s="94"/>
    </row>
    <row r="970" spans="19:22" ht="12.5">
      <c r="S970" s="92"/>
      <c r="T970" s="93"/>
      <c r="U970" s="92"/>
      <c r="V970" s="94"/>
    </row>
    <row r="971" spans="19:22" ht="12.5">
      <c r="S971" s="92"/>
      <c r="T971" s="93"/>
      <c r="U971" s="92"/>
      <c r="V971" s="94"/>
    </row>
    <row r="972" spans="19:22" ht="12.5">
      <c r="S972" s="92"/>
      <c r="T972" s="93"/>
      <c r="U972" s="92"/>
      <c r="V972" s="94"/>
    </row>
    <row r="973" spans="19:22" ht="12.5">
      <c r="S973" s="92"/>
      <c r="T973" s="93"/>
      <c r="U973" s="92"/>
      <c r="V973" s="94"/>
    </row>
    <row r="974" spans="19:22" ht="12.5">
      <c r="S974" s="92"/>
      <c r="T974" s="93"/>
      <c r="U974" s="92"/>
      <c r="V974" s="94"/>
    </row>
    <row r="975" spans="19:22" ht="12.5">
      <c r="S975" s="92"/>
      <c r="T975" s="93"/>
      <c r="U975" s="92"/>
      <c r="V975" s="94"/>
    </row>
    <row r="976" spans="19:22" ht="12.5">
      <c r="S976" s="92"/>
      <c r="T976" s="93"/>
      <c r="U976" s="92"/>
      <c r="V976" s="94"/>
    </row>
    <row r="977" spans="19:22" ht="12.5">
      <c r="S977" s="92"/>
      <c r="T977" s="93"/>
      <c r="U977" s="92"/>
      <c r="V977" s="94"/>
    </row>
    <row r="978" spans="19:22" ht="12.5">
      <c r="S978" s="92"/>
      <c r="T978" s="93"/>
      <c r="U978" s="92"/>
      <c r="V978" s="94"/>
    </row>
    <row r="979" spans="19:22" ht="12.5">
      <c r="S979" s="92"/>
      <c r="T979" s="93"/>
      <c r="U979" s="92"/>
      <c r="V979" s="94"/>
    </row>
    <row r="980" spans="19:22" ht="12.5">
      <c r="S980" s="92"/>
      <c r="T980" s="93"/>
      <c r="U980" s="92"/>
      <c r="V980" s="94"/>
    </row>
    <row r="981" spans="19:22" ht="12.5">
      <c r="S981" s="92"/>
      <c r="T981" s="93"/>
      <c r="U981" s="92"/>
      <c r="V981" s="94"/>
    </row>
    <row r="982" spans="19:22" ht="12.5">
      <c r="S982" s="92"/>
      <c r="T982" s="93"/>
      <c r="U982" s="92"/>
      <c r="V982" s="94"/>
    </row>
    <row r="983" spans="19:22" ht="12.5">
      <c r="S983" s="92"/>
      <c r="T983" s="93"/>
      <c r="U983" s="92"/>
      <c r="V983" s="94"/>
    </row>
    <row r="984" spans="19:22" ht="12.5">
      <c r="S984" s="92"/>
      <c r="T984" s="93"/>
      <c r="U984" s="92"/>
      <c r="V984" s="94"/>
    </row>
    <row r="985" spans="19:22" ht="12.5">
      <c r="S985" s="92"/>
      <c r="T985" s="93"/>
      <c r="U985" s="92"/>
      <c r="V985" s="94"/>
    </row>
    <row r="986" spans="19:22" ht="12.5">
      <c r="S986" s="92"/>
      <c r="T986" s="93"/>
      <c r="U986" s="92"/>
      <c r="V986" s="94"/>
    </row>
    <row r="987" spans="19:22" ht="12.5">
      <c r="S987" s="92"/>
      <c r="T987" s="93"/>
      <c r="U987" s="92"/>
      <c r="V987" s="94"/>
    </row>
    <row r="988" spans="19:22" ht="12.5">
      <c r="S988" s="92"/>
      <c r="T988" s="93"/>
      <c r="U988" s="92"/>
      <c r="V988" s="94"/>
    </row>
    <row r="989" spans="19:22" ht="12.5">
      <c r="S989" s="92"/>
      <c r="T989" s="93"/>
      <c r="U989" s="92"/>
      <c r="V989" s="94"/>
    </row>
    <row r="990" spans="19:22" ht="12.5">
      <c r="S990" s="92"/>
      <c r="T990" s="93"/>
      <c r="U990" s="92"/>
      <c r="V990" s="94"/>
    </row>
    <row r="991" spans="19:22" ht="12.5">
      <c r="S991" s="92"/>
      <c r="T991" s="93"/>
      <c r="U991" s="92"/>
      <c r="V991" s="94"/>
    </row>
    <row r="992" spans="19:22" ht="12.5">
      <c r="S992" s="92"/>
      <c r="T992" s="93"/>
      <c r="U992" s="92"/>
      <c r="V992" s="94"/>
    </row>
    <row r="993" spans="19:22" ht="12.5">
      <c r="S993" s="92"/>
      <c r="T993" s="93"/>
      <c r="U993" s="92"/>
      <c r="V993" s="94"/>
    </row>
    <row r="994" spans="19:22" ht="12.5">
      <c r="S994" s="92"/>
      <c r="T994" s="93"/>
      <c r="U994" s="92"/>
      <c r="V994" s="94"/>
    </row>
    <row r="995" spans="19:22" ht="12.5">
      <c r="S995" s="92"/>
      <c r="T995" s="93"/>
      <c r="U995" s="92"/>
      <c r="V995" s="94"/>
    </row>
    <row r="996" spans="19:22" ht="12.5">
      <c r="S996" s="92"/>
      <c r="T996" s="93"/>
      <c r="U996" s="92"/>
      <c r="V996" s="94"/>
    </row>
    <row r="997" spans="19:22" ht="12.5">
      <c r="S997" s="92"/>
      <c r="T997" s="93"/>
      <c r="U997" s="92"/>
      <c r="V997" s="94"/>
    </row>
    <row r="998" spans="19:22" ht="12.5">
      <c r="S998" s="92"/>
      <c r="T998" s="93"/>
      <c r="U998" s="92"/>
      <c r="V998" s="94"/>
    </row>
    <row r="999" spans="19:22" ht="12.5">
      <c r="S999" s="92"/>
      <c r="T999" s="93"/>
      <c r="U999" s="92"/>
      <c r="V999" s="94"/>
    </row>
    <row r="1000" spans="19:22" ht="12.5">
      <c r="S1000" s="92"/>
      <c r="T1000" s="93"/>
      <c r="U1000" s="92"/>
      <c r="V1000" s="94"/>
    </row>
    <row r="1001" spans="19:22" ht="12.5">
      <c r="S1001" s="92"/>
      <c r="T1001" s="93"/>
      <c r="U1001" s="92"/>
      <c r="V1001" s="94"/>
    </row>
    <row r="1002" spans="19:22" ht="12.5">
      <c r="S1002" s="92"/>
      <c r="T1002" s="93"/>
      <c r="U1002" s="92"/>
      <c r="V1002" s="94"/>
    </row>
    <row r="1003" spans="19:22" ht="12.5">
      <c r="S1003" s="92"/>
      <c r="T1003" s="93"/>
      <c r="U1003" s="92"/>
      <c r="V1003" s="94"/>
    </row>
    <row r="1004" spans="19:22" ht="12.5">
      <c r="S1004" s="92"/>
      <c r="T1004" s="93"/>
      <c r="U1004" s="92"/>
      <c r="V1004" s="94"/>
    </row>
    <row r="1005" spans="19:22" ht="12.5">
      <c r="S1005" s="92"/>
      <c r="T1005" s="93"/>
      <c r="U1005" s="92"/>
      <c r="V1005" s="94"/>
    </row>
    <row r="1006" spans="19:22" ht="12.5">
      <c r="S1006" s="92"/>
      <c r="T1006" s="93"/>
      <c r="U1006" s="92"/>
      <c r="V1006" s="94"/>
    </row>
    <row r="1007" spans="19:22" ht="12.5">
      <c r="S1007" s="92"/>
      <c r="T1007" s="93"/>
      <c r="U1007" s="92"/>
      <c r="V1007" s="94"/>
    </row>
    <row r="1008" spans="19:22" ht="12.5">
      <c r="S1008" s="92"/>
      <c r="T1008" s="93"/>
      <c r="U1008" s="92"/>
      <c r="V1008" s="94"/>
    </row>
    <row r="1009" spans="19:22" ht="12.5">
      <c r="S1009" s="92"/>
      <c r="T1009" s="93"/>
      <c r="U1009" s="92"/>
      <c r="V1009" s="94"/>
    </row>
    <row r="1010" spans="19:22" ht="12.5">
      <c r="S1010" s="92"/>
      <c r="T1010" s="93"/>
      <c r="U1010" s="92"/>
      <c r="V1010" s="94"/>
    </row>
    <row r="1011" spans="19:22" ht="12.5">
      <c r="S1011" s="92"/>
      <c r="T1011" s="93"/>
      <c r="U1011" s="92"/>
      <c r="V1011" s="94"/>
    </row>
    <row r="1012" spans="19:22" ht="12.5">
      <c r="S1012" s="92"/>
      <c r="T1012" s="93"/>
      <c r="U1012" s="92"/>
      <c r="V1012" s="94"/>
    </row>
    <row r="1013" spans="19:22" ht="12.5">
      <c r="S1013" s="92"/>
      <c r="T1013" s="93"/>
      <c r="U1013" s="92"/>
      <c r="V1013" s="94"/>
    </row>
    <row r="1014" spans="19:22" ht="12.5">
      <c r="S1014" s="92"/>
      <c r="T1014" s="93"/>
      <c r="U1014" s="92"/>
      <c r="V1014" s="94"/>
    </row>
    <row r="1015" spans="19:22" ht="12.5">
      <c r="S1015" s="92"/>
      <c r="T1015" s="93"/>
      <c r="U1015" s="92"/>
      <c r="V1015" s="94"/>
    </row>
    <row r="1016" spans="19:22" ht="12.5">
      <c r="S1016" s="92"/>
      <c r="T1016" s="93"/>
      <c r="U1016" s="92"/>
      <c r="V1016" s="94"/>
    </row>
    <row r="1017" spans="19:22" ht="12.5">
      <c r="S1017" s="92"/>
      <c r="T1017" s="93"/>
      <c r="U1017" s="92"/>
      <c r="V1017" s="94"/>
    </row>
    <row r="1018" spans="19:22" ht="12.5">
      <c r="S1018" s="92"/>
      <c r="T1018" s="93"/>
      <c r="U1018" s="92"/>
      <c r="V1018" s="94"/>
    </row>
    <row r="1019" spans="19:22" ht="12.5">
      <c r="S1019" s="92"/>
      <c r="T1019" s="93"/>
      <c r="U1019" s="92"/>
      <c r="V1019" s="94"/>
    </row>
    <row r="1020" spans="19:22" ht="12.5">
      <c r="S1020" s="92"/>
      <c r="T1020" s="93"/>
      <c r="U1020" s="92"/>
      <c r="V1020" s="94"/>
    </row>
    <row r="1021" spans="19:22" ht="12.5">
      <c r="S1021" s="92"/>
      <c r="T1021" s="93"/>
      <c r="U1021" s="92"/>
      <c r="V1021" s="94"/>
    </row>
    <row r="1022" spans="19:22" ht="12.5">
      <c r="S1022" s="92"/>
      <c r="T1022" s="93"/>
      <c r="U1022" s="92"/>
      <c r="V1022" s="94"/>
    </row>
    <row r="1023" spans="19:22" ht="12.5">
      <c r="S1023" s="92"/>
      <c r="T1023" s="93"/>
      <c r="U1023" s="92"/>
      <c r="V1023" s="94"/>
    </row>
    <row r="1024" spans="19:22" ht="12.5">
      <c r="S1024" s="92"/>
      <c r="T1024" s="93"/>
      <c r="U1024" s="92"/>
      <c r="V1024" s="94"/>
    </row>
    <row r="1025" spans="19:22" ht="12.5">
      <c r="S1025" s="92"/>
      <c r="T1025" s="93"/>
      <c r="U1025" s="92"/>
      <c r="V1025" s="94"/>
    </row>
    <row r="1026" spans="19:22" ht="12.5">
      <c r="S1026" s="92"/>
      <c r="T1026" s="93"/>
      <c r="U1026" s="92"/>
      <c r="V1026" s="94"/>
    </row>
    <row r="1027" spans="19:22" ht="12.5">
      <c r="S1027" s="92"/>
      <c r="T1027" s="93"/>
      <c r="U1027" s="92"/>
      <c r="V1027" s="94"/>
    </row>
    <row r="1028" spans="19:22" ht="12.5">
      <c r="S1028" s="92"/>
      <c r="T1028" s="93"/>
      <c r="U1028" s="92"/>
      <c r="V1028" s="94"/>
    </row>
    <row r="1029" spans="19:22" ht="12.5">
      <c r="S1029" s="92"/>
      <c r="T1029" s="93"/>
      <c r="U1029" s="92"/>
      <c r="V1029" s="94"/>
    </row>
    <row r="1030" spans="19:22" ht="12.5">
      <c r="S1030" s="92"/>
      <c r="T1030" s="93"/>
      <c r="U1030" s="92"/>
      <c r="V1030" s="94"/>
    </row>
    <row r="1031" spans="19:22" ht="12.5">
      <c r="S1031" s="92"/>
      <c r="T1031" s="93"/>
      <c r="U1031" s="92"/>
      <c r="V1031" s="94"/>
    </row>
    <row r="1032" spans="19:22" ht="12.5">
      <c r="S1032" s="92"/>
      <c r="T1032" s="93"/>
      <c r="U1032" s="92"/>
      <c r="V1032" s="94"/>
    </row>
    <row r="1033" spans="19:22" ht="12.5">
      <c r="S1033" s="92"/>
      <c r="T1033" s="93"/>
      <c r="U1033" s="92"/>
      <c r="V1033" s="94"/>
    </row>
    <row r="1034" spans="19:22" ht="12.5">
      <c r="S1034" s="92"/>
      <c r="T1034" s="93"/>
      <c r="U1034" s="92"/>
      <c r="V1034" s="94"/>
    </row>
    <row r="1035" spans="19:22" ht="12.5">
      <c r="S1035" s="92"/>
      <c r="T1035" s="93"/>
      <c r="U1035" s="92"/>
      <c r="V1035" s="94"/>
    </row>
    <row r="1036" spans="19:22" ht="12.5">
      <c r="S1036" s="92"/>
      <c r="T1036" s="93"/>
      <c r="U1036" s="92"/>
      <c r="V1036" s="94"/>
    </row>
    <row r="1037" spans="19:22" ht="12.5">
      <c r="S1037" s="92"/>
      <c r="T1037" s="93"/>
      <c r="U1037" s="92"/>
      <c r="V1037" s="94"/>
    </row>
    <row r="1038" spans="19:22" ht="12.5">
      <c r="S1038" s="92"/>
      <c r="T1038" s="93"/>
      <c r="U1038" s="92"/>
      <c r="V1038" s="94"/>
    </row>
    <row r="1039" spans="19:22" ht="12.5">
      <c r="S1039" s="92"/>
      <c r="T1039" s="93"/>
      <c r="U1039" s="92"/>
      <c r="V1039" s="94"/>
    </row>
    <row r="1040" spans="19:22" ht="12.5">
      <c r="S1040" s="92"/>
      <c r="T1040" s="93"/>
      <c r="U1040" s="92"/>
      <c r="V1040" s="94"/>
    </row>
    <row r="1041" spans="19:22" ht="12.5">
      <c r="S1041" s="92"/>
      <c r="T1041" s="93"/>
      <c r="U1041" s="92"/>
      <c r="V1041" s="94"/>
    </row>
    <row r="1042" spans="19:22" ht="12.5">
      <c r="S1042" s="92"/>
      <c r="T1042" s="93"/>
      <c r="U1042" s="92"/>
      <c r="V1042" s="94"/>
    </row>
    <row r="1043" spans="19:22" ht="12.5">
      <c r="S1043" s="92"/>
      <c r="T1043" s="93"/>
      <c r="U1043" s="92"/>
      <c r="V1043" s="94"/>
    </row>
    <row r="1044" spans="19:22" ht="12.5">
      <c r="S1044" s="92"/>
      <c r="T1044" s="93"/>
      <c r="U1044" s="92"/>
      <c r="V1044" s="94"/>
    </row>
    <row r="1045" spans="19:22" ht="12.5">
      <c r="S1045" s="92"/>
      <c r="T1045" s="93"/>
      <c r="U1045" s="92"/>
      <c r="V1045" s="94"/>
    </row>
    <row r="1046" spans="19:22" ht="12.5">
      <c r="S1046" s="92"/>
      <c r="T1046" s="93"/>
      <c r="U1046" s="92"/>
      <c r="V1046" s="94"/>
    </row>
    <row r="1047" spans="19:22" ht="12.5">
      <c r="S1047" s="92"/>
      <c r="T1047" s="93"/>
      <c r="U1047" s="92"/>
      <c r="V1047" s="94"/>
    </row>
    <row r="1048" spans="19:22" ht="12.5">
      <c r="S1048" s="92"/>
      <c r="T1048" s="93"/>
      <c r="U1048" s="92"/>
      <c r="V1048" s="94"/>
    </row>
    <row r="1049" spans="19:22" ht="12.5">
      <c r="S1049" s="92"/>
      <c r="T1049" s="93"/>
      <c r="U1049" s="92"/>
      <c r="V1049" s="94"/>
    </row>
    <row r="1050" spans="19:22" ht="12.5">
      <c r="S1050" s="92"/>
      <c r="T1050" s="93"/>
      <c r="U1050" s="92"/>
      <c r="V1050" s="94"/>
    </row>
    <row r="1051" spans="19:22" ht="12.5">
      <c r="S1051" s="92"/>
      <c r="T1051" s="93"/>
      <c r="U1051" s="92"/>
      <c r="V1051" s="94"/>
    </row>
    <row r="1052" spans="19:22" ht="12.5">
      <c r="S1052" s="92"/>
      <c r="T1052" s="93"/>
      <c r="U1052" s="92"/>
      <c r="V1052" s="94"/>
    </row>
    <row r="1053" spans="19:22" ht="12.5">
      <c r="S1053" s="92"/>
      <c r="T1053" s="93"/>
      <c r="U1053" s="92"/>
      <c r="V1053" s="94"/>
    </row>
    <row r="1054" spans="19:22" ht="12.5">
      <c r="S1054" s="92"/>
      <c r="T1054" s="93"/>
      <c r="U1054" s="92"/>
      <c r="V1054" s="94"/>
    </row>
    <row r="1055" spans="19:22" ht="12.5">
      <c r="S1055" s="92"/>
      <c r="T1055" s="93"/>
      <c r="U1055" s="92"/>
      <c r="V1055" s="94"/>
    </row>
    <row r="1056" spans="19:22" ht="12.5">
      <c r="S1056" s="92"/>
      <c r="T1056" s="93"/>
      <c r="U1056" s="92"/>
      <c r="V1056" s="94"/>
    </row>
    <row r="1057" spans="19:22" ht="12.5">
      <c r="S1057" s="92"/>
      <c r="T1057" s="93"/>
      <c r="U1057" s="92"/>
      <c r="V1057" s="94"/>
    </row>
    <row r="1058" spans="19:22" ht="12.5">
      <c r="S1058" s="92"/>
      <c r="T1058" s="93"/>
      <c r="U1058" s="92"/>
      <c r="V1058" s="94"/>
    </row>
    <row r="1059" spans="19:22" ht="12.5">
      <c r="S1059" s="92"/>
      <c r="T1059" s="93"/>
      <c r="U1059" s="92"/>
      <c r="V1059" s="94"/>
    </row>
    <row r="1060" spans="19:22" ht="12.5">
      <c r="S1060" s="92"/>
      <c r="T1060" s="93"/>
      <c r="U1060" s="92"/>
      <c r="V1060" s="94"/>
    </row>
    <row r="1061" spans="19:22" ht="12.5">
      <c r="S1061" s="92"/>
      <c r="T1061" s="93"/>
      <c r="U1061" s="92"/>
      <c r="V1061" s="94"/>
    </row>
    <row r="1062" spans="19:22" ht="12.5">
      <c r="S1062" s="92"/>
      <c r="T1062" s="93"/>
      <c r="U1062" s="92"/>
      <c r="V1062" s="94"/>
    </row>
    <row r="1063" spans="19:22" ht="12.5">
      <c r="S1063" s="92"/>
      <c r="T1063" s="93"/>
      <c r="U1063" s="92"/>
      <c r="V1063" s="94"/>
    </row>
    <row r="1064" spans="19:22" ht="12.5">
      <c r="S1064" s="92"/>
      <c r="T1064" s="93"/>
      <c r="U1064" s="92"/>
      <c r="V1064" s="94"/>
    </row>
    <row r="1065" spans="19:22" ht="12.5">
      <c r="S1065" s="92"/>
      <c r="T1065" s="93"/>
      <c r="U1065" s="92"/>
      <c r="V1065" s="94"/>
    </row>
    <row r="1066" spans="19:22" ht="12.5">
      <c r="S1066" s="92"/>
      <c r="T1066" s="93"/>
      <c r="U1066" s="92"/>
      <c r="V1066" s="94"/>
    </row>
    <row r="1067" spans="19:22" ht="12.5">
      <c r="S1067" s="92"/>
      <c r="T1067" s="93"/>
      <c r="U1067" s="92"/>
      <c r="V1067" s="94"/>
    </row>
  </sheetData>
  <mergeCells count="67">
    <mergeCell ref="B158:R158"/>
    <mergeCell ref="B165:R165"/>
    <mergeCell ref="B172:R172"/>
    <mergeCell ref="W144:W145"/>
    <mergeCell ref="W151:W152"/>
    <mergeCell ref="W158:W159"/>
    <mergeCell ref="W165:W166"/>
    <mergeCell ref="W172:W173"/>
    <mergeCell ref="W88:W89"/>
    <mergeCell ref="A130:A131"/>
    <mergeCell ref="A137:A138"/>
    <mergeCell ref="A144:A145"/>
    <mergeCell ref="A151:A152"/>
    <mergeCell ref="B151:R151"/>
    <mergeCell ref="W95:W96"/>
    <mergeCell ref="W102:W103"/>
    <mergeCell ref="W109:W110"/>
    <mergeCell ref="W116:W117"/>
    <mergeCell ref="W123:W124"/>
    <mergeCell ref="W130:W131"/>
    <mergeCell ref="W137:W138"/>
    <mergeCell ref="B137:R137"/>
    <mergeCell ref="B144:R144"/>
    <mergeCell ref="B88:R88"/>
    <mergeCell ref="A70:A71"/>
    <mergeCell ref="B70:R70"/>
    <mergeCell ref="B79:R79"/>
    <mergeCell ref="W36:W37"/>
    <mergeCell ref="W43:W44"/>
    <mergeCell ref="W52:W53"/>
    <mergeCell ref="W61:W62"/>
    <mergeCell ref="W70:W71"/>
    <mergeCell ref="W79:W80"/>
    <mergeCell ref="A43:A44"/>
    <mergeCell ref="B43:R43"/>
    <mergeCell ref="A52:A53"/>
    <mergeCell ref="B52:R52"/>
    <mergeCell ref="A61:A62"/>
    <mergeCell ref="B61:R61"/>
    <mergeCell ref="A29:A30"/>
    <mergeCell ref="B29:R29"/>
    <mergeCell ref="W29:W30"/>
    <mergeCell ref="A36:A37"/>
    <mergeCell ref="B36:R36"/>
    <mergeCell ref="A1:A6"/>
    <mergeCell ref="A9:A11"/>
    <mergeCell ref="B9:R10"/>
    <mergeCell ref="W9:W11"/>
    <mergeCell ref="A19:A20"/>
    <mergeCell ref="B19:R19"/>
    <mergeCell ref="W19:W20"/>
    <mergeCell ref="A158:A159"/>
    <mergeCell ref="A165:A166"/>
    <mergeCell ref="A172:A173"/>
    <mergeCell ref="A79:A80"/>
    <mergeCell ref="A88:A89"/>
    <mergeCell ref="A95:A96"/>
    <mergeCell ref="A102:A103"/>
    <mergeCell ref="A109:A110"/>
    <mergeCell ref="A116:A117"/>
    <mergeCell ref="A123:A124"/>
    <mergeCell ref="B130:R130"/>
    <mergeCell ref="B95:R95"/>
    <mergeCell ref="B102:R102"/>
    <mergeCell ref="B109:R109"/>
    <mergeCell ref="B116:R116"/>
    <mergeCell ref="B123:R12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L1134"/>
  <sheetViews>
    <sheetView topLeftCell="A37" zoomScale="63" workbookViewId="0">
      <pane xSplit="1" topLeftCell="K1" activePane="topRight" state="frozen"/>
      <selection pane="topRight" activeCell="K1" sqref="K1:P9"/>
    </sheetView>
  </sheetViews>
  <sheetFormatPr defaultColWidth="14.453125" defaultRowHeight="15.75" customHeight="1" outlineLevelRow="1"/>
  <cols>
    <col min="1" max="1" width="43" customWidth="1"/>
    <col min="2" max="2" width="35.08984375" customWidth="1"/>
    <col min="3" max="3" width="21.90625" customWidth="1"/>
    <col min="4" max="4" width="18.36328125" customWidth="1"/>
    <col min="5" max="5" width="21.90625" customWidth="1"/>
    <col min="6" max="6" width="20.36328125" customWidth="1"/>
    <col min="7" max="7" width="28.90625" customWidth="1"/>
    <col min="8" max="8" width="25.08984375" customWidth="1"/>
    <col min="9" max="9" width="23.453125" customWidth="1"/>
    <col min="10" max="10" width="24.6328125" customWidth="1"/>
    <col min="11" max="14" width="23.08984375" customWidth="1"/>
    <col min="15" max="15" width="28" customWidth="1"/>
    <col min="16" max="16" width="23.36328125" customWidth="1"/>
    <col min="17" max="17" width="17.36328125" customWidth="1"/>
    <col min="18" max="18" width="17.6328125" customWidth="1"/>
    <col min="19" max="19" width="14" customWidth="1"/>
    <col min="20" max="20" width="13.6328125" customWidth="1"/>
    <col min="21" max="21" width="30.54296875" customWidth="1"/>
    <col min="22" max="22" width="19.08984375" customWidth="1"/>
    <col min="23" max="23" width="21.90625" customWidth="1"/>
    <col min="24" max="24" width="24" customWidth="1"/>
    <col min="26" max="26" width="16.90625" customWidth="1"/>
    <col min="30" max="30" width="16.08984375" customWidth="1"/>
  </cols>
  <sheetData>
    <row r="1" spans="1:22" ht="13">
      <c r="B1" s="358" t="s">
        <v>230</v>
      </c>
      <c r="C1" s="319"/>
      <c r="D1" s="319"/>
      <c r="E1" s="319"/>
      <c r="F1" s="319"/>
      <c r="G1" s="320"/>
      <c r="K1" s="337" t="s">
        <v>418</v>
      </c>
      <c r="L1" s="338"/>
      <c r="M1" s="338"/>
      <c r="N1" s="338"/>
      <c r="O1" s="338"/>
      <c r="P1" s="339"/>
      <c r="Q1" s="103"/>
      <c r="S1" s="104"/>
      <c r="T1" s="104"/>
      <c r="U1" s="104"/>
      <c r="V1" s="104"/>
    </row>
    <row r="2" spans="1:22" ht="13">
      <c r="B2" s="321"/>
      <c r="C2" s="302"/>
      <c r="D2" s="302"/>
      <c r="E2" s="302"/>
      <c r="F2" s="302"/>
      <c r="G2" s="322"/>
      <c r="K2" s="340"/>
      <c r="L2" s="302"/>
      <c r="M2" s="302"/>
      <c r="N2" s="302"/>
      <c r="O2" s="302"/>
      <c r="P2" s="341"/>
      <c r="Q2" s="103"/>
      <c r="S2" s="104"/>
      <c r="T2" s="104"/>
      <c r="U2" s="104"/>
      <c r="V2" s="104"/>
    </row>
    <row r="3" spans="1:22" ht="13">
      <c r="B3" s="321"/>
      <c r="C3" s="302"/>
      <c r="D3" s="302"/>
      <c r="E3" s="302"/>
      <c r="F3" s="302"/>
      <c r="G3" s="322"/>
      <c r="K3" s="340"/>
      <c r="L3" s="302"/>
      <c r="M3" s="302"/>
      <c r="N3" s="302"/>
      <c r="O3" s="302"/>
      <c r="P3" s="341"/>
      <c r="Q3" s="103"/>
      <c r="S3" s="104"/>
      <c r="T3" s="104"/>
      <c r="U3" s="104"/>
      <c r="V3" s="104"/>
    </row>
    <row r="4" spans="1:22" ht="13">
      <c r="B4" s="321"/>
      <c r="C4" s="302"/>
      <c r="D4" s="302"/>
      <c r="E4" s="302"/>
      <c r="F4" s="302"/>
      <c r="G4" s="322"/>
      <c r="K4" s="340"/>
      <c r="L4" s="302"/>
      <c r="M4" s="302"/>
      <c r="N4" s="302"/>
      <c r="O4" s="302"/>
      <c r="P4" s="341"/>
      <c r="Q4" s="103"/>
      <c r="S4" s="104"/>
      <c r="T4" s="104"/>
      <c r="U4" s="104"/>
      <c r="V4" s="104"/>
    </row>
    <row r="5" spans="1:22" ht="13">
      <c r="B5" s="321"/>
      <c r="C5" s="302"/>
      <c r="D5" s="302"/>
      <c r="E5" s="302"/>
      <c r="F5" s="302"/>
      <c r="G5" s="322"/>
      <c r="K5" s="340"/>
      <c r="L5" s="302"/>
      <c r="M5" s="302"/>
      <c r="N5" s="302"/>
      <c r="O5" s="302"/>
      <c r="P5" s="341"/>
      <c r="Q5" s="103"/>
      <c r="S5" s="104"/>
      <c r="T5" s="104"/>
      <c r="U5" s="104"/>
      <c r="V5" s="104"/>
    </row>
    <row r="6" spans="1:22" ht="13">
      <c r="B6" s="321"/>
      <c r="C6" s="302"/>
      <c r="D6" s="302"/>
      <c r="E6" s="302"/>
      <c r="F6" s="302"/>
      <c r="G6" s="322"/>
      <c r="K6" s="340"/>
      <c r="L6" s="302"/>
      <c r="M6" s="302"/>
      <c r="N6" s="302"/>
      <c r="O6" s="302"/>
      <c r="P6" s="341"/>
      <c r="Q6" s="103"/>
      <c r="S6" s="104"/>
      <c r="T6" s="104"/>
      <c r="U6" s="104"/>
      <c r="V6" s="104"/>
    </row>
    <row r="7" spans="1:22" ht="13">
      <c r="B7" s="321"/>
      <c r="C7" s="302"/>
      <c r="D7" s="302"/>
      <c r="E7" s="302"/>
      <c r="F7" s="302"/>
      <c r="G7" s="322"/>
      <c r="K7" s="340"/>
      <c r="L7" s="302"/>
      <c r="M7" s="302"/>
      <c r="N7" s="302"/>
      <c r="O7" s="302"/>
      <c r="P7" s="341"/>
      <c r="Q7" s="103"/>
      <c r="S7" s="104"/>
      <c r="T7" s="104"/>
      <c r="U7" s="104"/>
      <c r="V7" s="104"/>
    </row>
    <row r="8" spans="1:22" ht="13">
      <c r="B8" s="321"/>
      <c r="C8" s="302"/>
      <c r="D8" s="302"/>
      <c r="E8" s="302"/>
      <c r="F8" s="302"/>
      <c r="G8" s="322"/>
      <c r="K8" s="340"/>
      <c r="L8" s="302"/>
      <c r="M8" s="302"/>
      <c r="N8" s="302"/>
      <c r="O8" s="302"/>
      <c r="P8" s="341"/>
      <c r="Q8" s="103"/>
      <c r="S8" s="104"/>
      <c r="T8" s="104"/>
      <c r="U8" s="104"/>
      <c r="V8" s="104"/>
    </row>
    <row r="9" spans="1:22" ht="28.5" customHeight="1" thickBot="1">
      <c r="B9" s="323"/>
      <c r="C9" s="324"/>
      <c r="D9" s="324"/>
      <c r="E9" s="324"/>
      <c r="F9" s="324"/>
      <c r="G9" s="325"/>
      <c r="K9" s="342"/>
      <c r="L9" s="343"/>
      <c r="M9" s="343"/>
      <c r="N9" s="343"/>
      <c r="O9" s="343"/>
      <c r="P9" s="344"/>
      <c r="Q9" s="103"/>
      <c r="S9" s="104"/>
      <c r="T9" s="104"/>
      <c r="U9" s="104"/>
      <c r="V9" s="104"/>
    </row>
    <row r="10" spans="1:22" ht="13">
      <c r="A10" s="105"/>
      <c r="B10" s="106"/>
      <c r="C10" s="106"/>
      <c r="D10" s="106"/>
      <c r="E10" s="106"/>
      <c r="F10" s="106"/>
      <c r="G10" s="106"/>
      <c r="H10" s="100"/>
      <c r="I10" s="100"/>
      <c r="J10" s="100"/>
      <c r="K10" s="100"/>
      <c r="L10" s="100"/>
      <c r="M10" s="100"/>
      <c r="N10" s="100"/>
      <c r="O10" s="101"/>
      <c r="P10" s="102"/>
      <c r="Q10" s="103"/>
      <c r="S10" s="104"/>
      <c r="T10" s="104"/>
      <c r="U10" s="104"/>
      <c r="V10" s="104"/>
    </row>
    <row r="11" spans="1:22" ht="13" hidden="1">
      <c r="A11" s="105"/>
      <c r="B11" s="106"/>
      <c r="C11" s="106"/>
      <c r="D11" s="106"/>
      <c r="E11" s="106"/>
      <c r="F11" s="106"/>
      <c r="G11" s="106"/>
      <c r="H11" s="100"/>
      <c r="I11" s="100"/>
      <c r="J11" s="100"/>
      <c r="K11" s="100"/>
      <c r="L11" s="100"/>
      <c r="M11" s="100"/>
      <c r="N11" s="100"/>
      <c r="O11" s="101"/>
      <c r="P11" s="102"/>
      <c r="Q11" s="103"/>
      <c r="S11" s="104"/>
      <c r="T11" s="104"/>
      <c r="U11" s="104"/>
      <c r="V11" s="104"/>
    </row>
    <row r="12" spans="1:22" ht="13" hidden="1" collapsed="1">
      <c r="A12" s="105" t="s">
        <v>231</v>
      </c>
      <c r="B12" s="106"/>
      <c r="C12" s="106"/>
      <c r="D12" s="106"/>
      <c r="E12" s="106"/>
      <c r="F12" s="106"/>
      <c r="G12" s="106"/>
      <c r="H12" s="100"/>
      <c r="I12" s="100"/>
      <c r="J12" s="100"/>
      <c r="K12" s="100"/>
      <c r="L12" s="100"/>
      <c r="M12" s="100"/>
      <c r="N12" s="100"/>
      <c r="O12" s="101"/>
      <c r="P12" s="102"/>
      <c r="Q12" s="103"/>
      <c r="S12" s="104"/>
      <c r="T12" s="104"/>
      <c r="U12" s="104"/>
      <c r="V12" s="104"/>
    </row>
    <row r="13" spans="1:22" ht="13" hidden="1" outlineLevel="1">
      <c r="A13" s="107"/>
      <c r="B13" s="106" t="s">
        <v>232</v>
      </c>
      <c r="C13" s="106" t="s">
        <v>233</v>
      </c>
      <c r="D13" s="106" t="s">
        <v>234</v>
      </c>
      <c r="E13" s="106"/>
      <c r="F13" s="106"/>
      <c r="G13" s="106" t="s">
        <v>235</v>
      </c>
      <c r="H13" s="106" t="s">
        <v>236</v>
      </c>
      <c r="I13" s="106" t="s">
        <v>37</v>
      </c>
      <c r="J13" s="106" t="s">
        <v>237</v>
      </c>
      <c r="K13" s="106" t="s">
        <v>238</v>
      </c>
      <c r="L13" s="100"/>
      <c r="M13" s="106" t="s">
        <v>237</v>
      </c>
      <c r="N13" s="100" t="s">
        <v>239</v>
      </c>
      <c r="O13" s="101"/>
      <c r="P13" s="102"/>
      <c r="Q13" s="103"/>
      <c r="S13" s="104"/>
      <c r="T13" s="104"/>
      <c r="U13" s="104"/>
      <c r="V13" s="104"/>
    </row>
    <row r="14" spans="1:22" ht="13" hidden="1" outlineLevel="1">
      <c r="A14" s="107"/>
      <c r="B14" s="106" t="str">
        <f>("YHTEENSÄ (€ / käyttökerta)")</f>
        <v>YHTEENSÄ (€ / käyttökerta)</v>
      </c>
      <c r="C14" s="106" t="s">
        <v>240</v>
      </c>
      <c r="D14" s="106"/>
      <c r="E14" s="106" t="s">
        <v>241</v>
      </c>
      <c r="F14" s="106"/>
      <c r="G14" s="106"/>
      <c r="H14" s="100"/>
      <c r="I14" s="100"/>
      <c r="J14" s="106" t="s">
        <v>89</v>
      </c>
      <c r="K14" s="106" t="s">
        <v>242</v>
      </c>
      <c r="L14" s="100"/>
      <c r="M14" s="100"/>
      <c r="N14" s="100"/>
      <c r="O14" s="101"/>
      <c r="P14" s="102"/>
      <c r="Q14" s="103"/>
      <c r="S14" s="104"/>
      <c r="T14" s="104"/>
      <c r="U14" s="104"/>
      <c r="V14" s="104"/>
    </row>
    <row r="15" spans="1:22" ht="13" hidden="1">
      <c r="A15" s="107"/>
      <c r="B15" s="100"/>
      <c r="C15" s="100"/>
      <c r="D15" s="100"/>
      <c r="E15" s="100"/>
      <c r="F15" s="100"/>
      <c r="G15" s="100"/>
      <c r="H15" s="100"/>
      <c r="I15" s="100"/>
      <c r="J15" s="100"/>
      <c r="K15" s="100"/>
      <c r="L15" s="100"/>
      <c r="M15" s="100"/>
      <c r="N15" s="100"/>
      <c r="O15" s="101"/>
      <c r="P15" s="102"/>
      <c r="Q15" s="103"/>
      <c r="S15" s="104"/>
      <c r="T15" s="104"/>
      <c r="U15" s="104"/>
      <c r="V15" s="104"/>
    </row>
    <row r="16" spans="1:22" ht="13">
      <c r="A16" s="108"/>
      <c r="B16" s="100"/>
      <c r="C16" s="100"/>
      <c r="D16" s="100"/>
      <c r="E16" s="100"/>
      <c r="F16" s="100"/>
      <c r="G16" s="100"/>
      <c r="H16" s="100"/>
      <c r="I16" s="100"/>
      <c r="J16" s="100"/>
      <c r="K16" s="100"/>
      <c r="L16" s="100"/>
      <c r="M16" s="100"/>
      <c r="N16" s="100"/>
      <c r="O16" s="101"/>
      <c r="P16" s="102"/>
      <c r="Q16" s="103"/>
      <c r="S16" s="104"/>
      <c r="T16" s="104"/>
      <c r="U16" s="104"/>
      <c r="V16" s="104"/>
    </row>
    <row r="17" spans="1:26" ht="26">
      <c r="A17" s="109" t="str">
        <f>(Lähtötiedot!B3&amp;", nykytila: tuotteet ostettuna, pesu toimipisteellä tai kotona")</f>
        <v>Toimija 1, nykytila: tuotteet ostettuna, pesu toimipisteellä tai kotona</v>
      </c>
      <c r="B17" s="100"/>
      <c r="C17" s="106"/>
      <c r="D17" s="100"/>
      <c r="E17" s="100"/>
      <c r="F17" s="100"/>
      <c r="G17" s="100"/>
      <c r="H17" s="100"/>
      <c r="I17" s="100"/>
      <c r="J17" s="100"/>
      <c r="K17" s="100"/>
      <c r="L17" s="100"/>
      <c r="M17" s="100"/>
      <c r="N17" s="100"/>
      <c r="O17" s="101"/>
      <c r="P17" s="102"/>
      <c r="Q17" s="103"/>
      <c r="S17" s="104"/>
      <c r="T17" s="104"/>
      <c r="U17" s="104"/>
      <c r="V17" s="104"/>
    </row>
    <row r="18" spans="1:26" ht="13" outlineLevel="1">
      <c r="A18" s="107"/>
      <c r="B18" s="100"/>
      <c r="C18" s="100"/>
      <c r="D18" s="100"/>
      <c r="E18" s="100"/>
      <c r="F18" s="100"/>
      <c r="G18" s="100"/>
      <c r="H18" s="100"/>
      <c r="I18" s="100"/>
      <c r="J18" s="100"/>
      <c r="K18" s="100"/>
      <c r="L18" s="100"/>
      <c r="M18" s="100"/>
      <c r="N18" s="100"/>
      <c r="O18" s="359" t="str">
        <f>($C$13)</f>
        <v xml:space="preserve">Täyttömäärä: 100 % </v>
      </c>
      <c r="P18" s="302"/>
      <c r="Q18" s="302"/>
      <c r="R18" s="302"/>
      <c r="S18" s="302"/>
      <c r="T18" s="302"/>
      <c r="U18" s="360" t="str">
        <f>($D$13)</f>
        <v>Pesukoneen kustannukset 2-kertaisena ("epäoptimaalinen pesu")</v>
      </c>
      <c r="V18" s="302"/>
      <c r="W18" s="302"/>
      <c r="X18" s="302"/>
      <c r="Y18" s="302"/>
      <c r="Z18" s="302"/>
    </row>
    <row r="19" spans="1:26" ht="13" outlineLevel="1">
      <c r="B19" s="100"/>
      <c r="C19" s="100"/>
      <c r="D19" s="100"/>
      <c r="E19" s="100"/>
      <c r="F19" s="100"/>
      <c r="G19" s="100"/>
      <c r="H19" s="100"/>
      <c r="I19" s="100"/>
      <c r="J19" s="100"/>
      <c r="K19" s="100"/>
      <c r="L19" s="100"/>
      <c r="M19" s="100"/>
      <c r="N19" s="100"/>
      <c r="O19" s="110"/>
      <c r="S19" s="357"/>
      <c r="T19" s="302"/>
      <c r="U19" s="111"/>
      <c r="V19" s="33"/>
      <c r="W19" s="33"/>
      <c r="X19" s="33"/>
      <c r="Y19" s="356"/>
      <c r="Z19" s="302"/>
    </row>
    <row r="20" spans="1:26" ht="26" outlineLevel="1">
      <c r="A20" s="361" t="str">
        <f>(Lähtötiedot!B3&amp;" - Nykytilanne: "&amp;B20&amp;" ostettuna, Pesu "&amp;(VLOOKUP(B20,Lähtötiedot!C:S,17,0)&amp;" toimipisteellä, "&amp;(VLOOKUP(B20,Lähtötiedot!C:S,16,0)&amp;" kotona")))</f>
        <v>Toimija 1 - Nykytilanne: Toimija 1 talvivaate 1 ostettuna, Pesu 0,7 toimipisteellä, 0,3 kotona</v>
      </c>
      <c r="B20" s="113" t="s">
        <v>243</v>
      </c>
      <c r="C20" s="114" t="str">
        <f>($M$13)</f>
        <v>Pesukerrat vuoden aikana</v>
      </c>
      <c r="D20" s="41">
        <f>(VLOOKUP(B20,Lähtötiedot!$C$3:$Q$36,15,0)/VLOOKUP(B20,Lähtötiedot!$C$3:$Q$36,10,0))</f>
        <v>7.6144275480708821</v>
      </c>
      <c r="E20" s="114"/>
      <c r="F20" s="114"/>
      <c r="G20" s="114"/>
      <c r="H20" s="114"/>
      <c r="I20" s="114"/>
      <c r="J20" s="114"/>
      <c r="K20" s="300" t="s">
        <v>417</v>
      </c>
      <c r="L20" s="115"/>
      <c r="M20" s="115"/>
      <c r="N20" s="115"/>
      <c r="O20" s="349" t="str">
        <f>($E$14)</f>
        <v>€ / pesuväli</v>
      </c>
      <c r="P20" s="302"/>
      <c r="Q20" s="350" t="str">
        <f>($G$13)</f>
        <v>€ / vuosi</v>
      </c>
      <c r="R20" s="302"/>
      <c r="S20" s="349" t="str">
        <f>($K$13)</f>
        <v>Kustannuksen muodostuminen</v>
      </c>
      <c r="T20" s="302"/>
      <c r="U20" s="345" t="str">
        <f>($E$14)</f>
        <v>€ / pesuväli</v>
      </c>
      <c r="V20" s="302"/>
      <c r="W20" s="346" t="str">
        <f>($G$13)</f>
        <v>€ / vuosi</v>
      </c>
      <c r="X20" s="302"/>
      <c r="Y20" s="347" t="str">
        <f>($K$13)</f>
        <v>Kustannuksen muodostuminen</v>
      </c>
      <c r="Z20" s="302"/>
    </row>
    <row r="21" spans="1:26" ht="29.25" customHeight="1" outlineLevel="1">
      <c r="A21" s="302"/>
      <c r="B21" s="119" t="s">
        <v>244</v>
      </c>
      <c r="C21" s="119" t="s">
        <v>245</v>
      </c>
      <c r="D21" s="119" t="s">
        <v>246</v>
      </c>
      <c r="E21" s="119" t="s">
        <v>247</v>
      </c>
      <c r="F21" s="119" t="s">
        <v>108</v>
      </c>
      <c r="G21" s="119" t="s">
        <v>103</v>
      </c>
      <c r="H21" s="119" t="s">
        <v>248</v>
      </c>
      <c r="I21" s="119" t="s">
        <v>249</v>
      </c>
      <c r="J21" s="119" t="s">
        <v>250</v>
      </c>
      <c r="K21" s="99" t="s">
        <v>251</v>
      </c>
      <c r="L21" s="119" t="s">
        <v>113</v>
      </c>
      <c r="M21" s="119" t="s">
        <v>252</v>
      </c>
      <c r="N21" s="120" t="str">
        <f>($N$13)</f>
        <v>Jätehuolto</v>
      </c>
      <c r="O21" s="121" t="s">
        <v>200</v>
      </c>
      <c r="P21" s="116" t="str">
        <f>($C$14)</f>
        <v>PAINOTETTU KESKIARVO</v>
      </c>
      <c r="Q21" s="112" t="s">
        <v>200</v>
      </c>
      <c r="R21" s="122" t="str">
        <f>($C$14)</f>
        <v>PAINOTETTU KESKIARVO</v>
      </c>
      <c r="S21" s="117" t="str">
        <f>($J$14)</f>
        <v>HANKINTA</v>
      </c>
      <c r="T21" s="117" t="str">
        <f>($K$14)</f>
        <v>HUOLTO</v>
      </c>
      <c r="U21" s="118" t="s">
        <v>200</v>
      </c>
      <c r="V21" s="123" t="str">
        <f>($C$14)</f>
        <v>PAINOTETTU KESKIARVO</v>
      </c>
      <c r="W21" s="124" t="s">
        <v>200</v>
      </c>
      <c r="X21" s="125" t="str">
        <f>($C$14)</f>
        <v>PAINOTETTU KESKIARVO</v>
      </c>
      <c r="Y21" s="126" t="str">
        <f>($J$14)</f>
        <v>HANKINTA</v>
      </c>
      <c r="Z21" s="126" t="str">
        <f>($K$14)</f>
        <v>HUOLTO</v>
      </c>
    </row>
    <row r="22" spans="1:26" ht="12.5" outlineLevel="1">
      <c r="A22" s="16" t="s">
        <v>253</v>
      </c>
      <c r="B22" s="127">
        <f>((VLOOKUP(B20,'Lähtötiedot - kustannukset'!C:F,4,0))/(VLOOKUP(B20,Lähtötiedot!C:Q,15,0)))</f>
        <v>6.5664818115798496E-2</v>
      </c>
      <c r="C22" s="127">
        <f>((VLOOKUP(B20,Lähtötiedot!C:F,4,0)*'Lähtötiedot - kustannukset'!$F$24))</f>
        <v>3.2404735799334443E-2</v>
      </c>
      <c r="D22" s="127">
        <f>((VLOOKUP(B20,Lähtötiedot!C:G,4,0))*'Kotikonemallien lähtötiedot'!$H$6*'Lähtötiedot - kustannukset'!$F$16)</f>
        <v>6.9071891774891781E-3</v>
      </c>
      <c r="E22" s="127">
        <f>('Kotikonemallien lähtötiedot'!$I$6*(VLOOKUP(B20,Lähtötiedot!C:F,4,0)*'Lähtötiedot - kustannukset'!$F$19))</f>
        <v>8.8267683333333336E-3</v>
      </c>
      <c r="F22" s="127">
        <f>('Kotikonemallien lähtötiedot'!$I$6*(VLOOKUP(B20,Lähtötiedot!C:F,4,0)*'Lähtötiedot - kustannukset'!$F$20))</f>
        <v>1.0458607857142857E-2</v>
      </c>
      <c r="G22" s="128">
        <f>('Kotikonemallien lähtötiedot'!$I$6*(VLOOKUP(B20,Lähtötiedot!C:F,4,0)*'Lähtötiedot - kustannukset'!$F$18))</f>
        <v>7.4174523809523811E-4</v>
      </c>
      <c r="H22" s="129"/>
      <c r="I22" s="129"/>
      <c r="J22" s="128">
        <f>((VLOOKUP(B20,Lähtötiedot!C:F,4,0)*'Lähtötiedot - kustannukset'!$F$26))</f>
        <v>0.10634068773603655</v>
      </c>
      <c r="K22" s="128">
        <f>((VLOOKUP(B20,Lähtötiedot!C:F,4,0)*'Kotikonemallien lähtötiedot'!$R$6*'Lähtötiedot - kustannukset'!$F$16))</f>
        <v>4.4931999999999993E-2</v>
      </c>
      <c r="L22" s="127">
        <f>((VLOOKUP(B20,Lähtötiedot!C:F,4,0)*'Lähtötiedot - kustannukset'!$F$22))</f>
        <v>3.8999999999999998E-3</v>
      </c>
      <c r="M22" s="127">
        <f>(((VLOOKUP(B20,Lähtötiedot!C:F,4,0)/'Kotikonemallien lähtötiedot'!$B$6))*('Lähtötiedot - kustannukset'!$F$27*'Lähtötiedot - kustannukset'!$F$28))</f>
        <v>0.55604838709677418</v>
      </c>
      <c r="N22" s="130">
        <f>(VLOOKUP(B20,Lähtötiedot!$C$3:$F$13,4,0)*('Lähtötiedot - kustannukset'!$F$73))</f>
        <v>0</v>
      </c>
      <c r="O22" s="131">
        <f>SUM(B22:N22)</f>
        <v>0.83622493935400422</v>
      </c>
      <c r="P22" s="348">
        <f ca="1">IFERROR(__xludf.DUMMYFUNCTION("average.weighted(O22,(vlookup(B20,'Lähtötiedot'!C:S,17,0)),O23,0,O24,(vlookup(B20,'Lähtötiedot'!C:S,16,0)))"),0.606226902982542)</f>
        <v>0.606226902982542</v>
      </c>
      <c r="Q22" s="133">
        <f>(O22*D20)</f>
        <v>6.3673742146010328</v>
      </c>
      <c r="R22" s="348">
        <f ca="1">IFERROR(__xludf.DUMMYFUNCTION("average.weighted(Q22,(vlookup(B20,'Lähtötiedot'!C:S,17,0)),Q23,0,Q24,(vlookup(B20,'Lähtötiedot'!C:S,16,0)))"),4.61607083045196)</f>
        <v>4.6160708304519602</v>
      </c>
      <c r="S22" s="134">
        <f>(B22/O22)</f>
        <v>7.8525304646529098E-2</v>
      </c>
      <c r="T22" s="134">
        <f>(SUM(C22:M22)/O22)</f>
        <v>0.92147469535347104</v>
      </c>
      <c r="U22" s="135">
        <f>(O22+C22+E22+F22+G22+M22)</f>
        <v>1.4447051836786842</v>
      </c>
      <c r="V22" s="348">
        <f ca="1">IFERROR(__xludf.DUMMYFUNCTION("average.weighted(U22,(vlookup(B20,'Lähtötiedot'!C:S,17,0)),U23,0,U24,(vlookup(B20,'Lähtötiedot'!C:S,16,0)))"),1.03216307400981)</f>
        <v>1.03216307400981</v>
      </c>
      <c r="W22" s="136">
        <f>(U22*D20)</f>
        <v>11.000602949443776</v>
      </c>
      <c r="X22" s="348">
        <f ca="1">IFERROR(__xludf.DUMMYFUNCTION("average.weighted(W22,(vlookup(B20,'Lähtötiedot'!C:S,17,0)),W23,0,W24,(vlookup(B20,'Lähtötiedot'!C:S,16,0)))"),7.85933094484188)</f>
        <v>7.8593309448418802</v>
      </c>
      <c r="Y22" s="137">
        <f>(B22/U22)</f>
        <v>4.5452054064480302E-2</v>
      </c>
      <c r="Z22" s="137">
        <f>(SUM(U22-B22)/U22)</f>
        <v>0.95454794593551962</v>
      </c>
    </row>
    <row r="23" spans="1:26" ht="15" customHeight="1" outlineLevel="1">
      <c r="A23" s="138" t="s">
        <v>254</v>
      </c>
      <c r="B23" s="139">
        <f>((VLOOKUP(B20,'Lähtötiedot - kustannukset'!C:F,4,0))/(VLOOKUP(B20,Lähtötiedot!C:Q,15,0)))</f>
        <v>6.5664818115798496E-2</v>
      </c>
      <c r="C23" s="139">
        <f>((VLOOKUP(B20,Lähtötiedot!C:F,4,0)*'Lähtötiedot - kustannukset'!$F$24))</f>
        <v>3.2404735799334443E-2</v>
      </c>
      <c r="D23" s="139">
        <f>((VLOOKUP(B20,Lähtötiedot!C:G,4,0))*'Kotikonemallien lähtötiedot'!$H$6*'Lähtötiedot - kustannukset'!$F$16)</f>
        <v>6.9071891774891781E-3</v>
      </c>
      <c r="E23" s="139">
        <f>('Kotikonemallien lähtötiedot'!$I$6*(VLOOKUP(B20,Lähtötiedot!C:F,4,0)*'Lähtötiedot - kustannukset'!$F$19))</f>
        <v>8.8267683333333336E-3</v>
      </c>
      <c r="F23" s="139">
        <f>('Kotikonemallien lähtötiedot'!$I$6*(VLOOKUP(B20,Lähtötiedot!C:F,4,0)*'Lähtötiedot - kustannukset'!$F$20))</f>
        <v>1.0458607857142857E-2</v>
      </c>
      <c r="G23" s="139">
        <f>('Kotikonemallien lähtötiedot'!$I$6*(VLOOKUP(B20,Lähtötiedot!C:F,4,0)*'Lähtötiedot - kustannukset'!$F$18))</f>
        <v>7.4174523809523811E-4</v>
      </c>
      <c r="H23" s="139">
        <f>((VLOOKUP(B20,Lähtötiedot!C:F,4,0)*'Lähtötiedot - kustannukset'!$F$25))</f>
        <v>4.0613741024137735E-2</v>
      </c>
      <c r="I23" s="140">
        <f>((VLOOKUP(B20,Lähtötiedot!C:F,4,0)*'Kotikonemallien lähtötiedot'!$M$6*'Lähtötiedot - kustannukset'!$F$16))</f>
        <v>2.5618357142857141E-2</v>
      </c>
      <c r="J23" s="140"/>
      <c r="K23" s="140"/>
      <c r="L23" s="139">
        <f>((VLOOKUP(B20,Lähtötiedot!C:F,4,0)*'Lähtötiedot - kustannukset'!$F$22))</f>
        <v>3.8999999999999998E-3</v>
      </c>
      <c r="M23" s="139">
        <f>((VLOOKUP(B20,Lähtötiedot!C:F,4,0)/'Kotikonemallien lähtötiedot'!$B$6*'Lähtötiedot - kustannukset'!$F$27*'Lähtötiedot - kustannukset'!$F$28))</f>
        <v>0.55604838709677418</v>
      </c>
      <c r="N23" s="141">
        <f>(VLOOKUP(B20,Lähtötiedot!$C$3:$F$13,4,0)*('Lähtötiedot - kustannukset'!$F$73))</f>
        <v>0</v>
      </c>
      <c r="O23" s="142">
        <f>SUM(B23:M23)</f>
        <v>0.75118434978496262</v>
      </c>
      <c r="P23" s="302"/>
      <c r="Q23" s="143">
        <f>(O23*D20)</f>
        <v>5.7198388066823327</v>
      </c>
      <c r="R23" s="302"/>
      <c r="S23" s="144">
        <f>(B23/O23)</f>
        <v>8.7415050825534371E-2</v>
      </c>
      <c r="T23" s="144">
        <f>(SUM(C23:M23)/O23)</f>
        <v>0.91258494917446564</v>
      </c>
      <c r="U23" s="145">
        <f>(O23+C23+E23+F23+G23+M23)</f>
        <v>1.3596645941096426</v>
      </c>
      <c r="V23" s="302"/>
      <c r="W23" s="146">
        <f>(U23*D20)</f>
        <v>10.353067541525077</v>
      </c>
      <c r="X23" s="302"/>
      <c r="Y23" s="147">
        <f>(B23/U23)</f>
        <v>4.8294865072071827E-2</v>
      </c>
      <c r="Z23" s="147">
        <f>(SUM(U23-B23)/U23)</f>
        <v>0.9517051349279283</v>
      </c>
    </row>
    <row r="24" spans="1:26" ht="15" customHeight="1" outlineLevel="1">
      <c r="A24" s="16" t="s">
        <v>255</v>
      </c>
      <c r="B24" s="128">
        <f>((VLOOKUP(B20,'Lähtötiedot - kustannukset'!C:F,4,0))/(VLOOKUP(B20,Lähtötiedot!C:Q,15,0)))</f>
        <v>6.5664818115798496E-2</v>
      </c>
      <c r="C24" s="127"/>
      <c r="D24" s="127"/>
      <c r="E24" s="127"/>
      <c r="F24" s="127"/>
      <c r="G24" s="129"/>
      <c r="H24" s="127"/>
      <c r="I24" s="129"/>
      <c r="J24" s="129"/>
      <c r="K24" s="129"/>
      <c r="L24" s="128">
        <f>((VLOOKUP(B20,Lähtötiedot!C:F,4,0)*'Lähtötiedot - kustannukset'!$F$22))</f>
        <v>3.8999999999999998E-3</v>
      </c>
      <c r="M24" s="127"/>
      <c r="N24" s="148">
        <f>(VLOOKUP(B20,Lähtötiedot!$C$3:$F$13,4,0)*('Lähtötiedot - kustannukset'!$F$73))</f>
        <v>0</v>
      </c>
      <c r="O24" s="131">
        <f>SUM(B24:M24)</f>
        <v>6.9564818115798496E-2</v>
      </c>
      <c r="P24" s="302"/>
      <c r="Q24" s="149">
        <f>(O24*D20)</f>
        <v>0.52969626743747644</v>
      </c>
      <c r="R24" s="302"/>
      <c r="S24" s="134">
        <f>(B24/O24)</f>
        <v>0.94393717822264678</v>
      </c>
      <c r="T24" s="134">
        <f>(SUM(C24:M24)/O24)</f>
        <v>5.6062821777353167E-2</v>
      </c>
      <c r="U24" s="150">
        <f>SUM(B24:M24)</f>
        <v>6.9564818115798496E-2</v>
      </c>
      <c r="V24" s="302"/>
      <c r="W24" s="136">
        <f>(U24*D20)</f>
        <v>0.52969626743747644</v>
      </c>
      <c r="X24" s="302"/>
      <c r="Y24" s="137">
        <f>(B24/U24)</f>
        <v>0.94393717822264678</v>
      </c>
      <c r="Z24" s="137">
        <f>(SUM(U24-B24)/U24)</f>
        <v>5.6062821777353174E-2</v>
      </c>
    </row>
    <row r="25" spans="1:26" ht="13" outlineLevel="1">
      <c r="A25" s="51"/>
      <c r="B25" s="99"/>
      <c r="C25" s="99"/>
      <c r="D25" s="98"/>
      <c r="E25" s="98"/>
      <c r="F25" s="99"/>
      <c r="G25" s="99"/>
      <c r="H25" s="151"/>
      <c r="I25" s="151"/>
      <c r="J25" s="151"/>
      <c r="K25" s="152"/>
      <c r="L25" s="152"/>
      <c r="M25" s="152"/>
      <c r="N25" s="152"/>
      <c r="O25" s="64"/>
      <c r="P25" s="153"/>
      <c r="Q25" s="103"/>
      <c r="S25" s="33"/>
      <c r="T25" s="33"/>
      <c r="U25" s="33"/>
      <c r="V25" s="33"/>
    </row>
    <row r="26" spans="1:26" ht="26" outlineLevel="1">
      <c r="A26" s="364" t="str">
        <f>(Lähtötiedot!B3&amp;" - Nykytilanne: "&amp;B26&amp;" ostettuna, Pesu "&amp;(VLOOKUP(B26,Lähtötiedot!C:S,17,0)&amp;" toimipisteellä, "&amp;(VLOOKUP(B26,Lähtötiedot!C:S,16,0)&amp;" kotona")))</f>
        <v>Toimija 1 - Nykytilanne: toimija 1 talvivaate 2 ostettuna, Pesu 0,7 toimipisteellä, 0,3 kotona</v>
      </c>
      <c r="B26" s="113" t="s">
        <v>256</v>
      </c>
      <c r="C26" s="114" t="str">
        <f>($M$13)</f>
        <v>Pesukerrat vuoden aikana</v>
      </c>
      <c r="D26" s="41">
        <f>(VLOOKUP(B26,Lähtötiedot!$C$3:$Q$36,15,0)/VLOOKUP(B26,Lähtötiedot!$C$3:$Q$36,10,0))</f>
        <v>7.6144275480708821</v>
      </c>
      <c r="E26" s="114"/>
      <c r="F26" s="114"/>
      <c r="G26" s="114"/>
      <c r="H26" s="114"/>
      <c r="I26" s="114"/>
      <c r="J26" s="114"/>
      <c r="K26" s="114"/>
      <c r="L26" s="115"/>
      <c r="M26" s="115"/>
      <c r="N26" s="115"/>
      <c r="O26" s="349" t="str">
        <f>($E$14)</f>
        <v>€ / pesuväli</v>
      </c>
      <c r="P26" s="302"/>
      <c r="Q26" s="350" t="str">
        <f>($G$13)</f>
        <v>€ / vuosi</v>
      </c>
      <c r="R26" s="302"/>
      <c r="S26" s="349" t="str">
        <f>($K$13)</f>
        <v>Kustannuksen muodostuminen</v>
      </c>
      <c r="T26" s="302"/>
      <c r="U26" s="345" t="str">
        <f>($E$14)</f>
        <v>€ / pesuväli</v>
      </c>
      <c r="V26" s="302"/>
      <c r="W26" s="346" t="str">
        <f>($G$13)</f>
        <v>€ / vuosi</v>
      </c>
      <c r="X26" s="302"/>
      <c r="Y26" s="347" t="str">
        <f>($K$13)</f>
        <v>Kustannuksen muodostuminen</v>
      </c>
      <c r="Z26" s="302"/>
    </row>
    <row r="27" spans="1:26" ht="29.25" customHeight="1" outlineLevel="1">
      <c r="A27" s="302"/>
      <c r="B27" s="119" t="s">
        <v>244</v>
      </c>
      <c r="C27" s="119" t="s">
        <v>245</v>
      </c>
      <c r="D27" s="119" t="s">
        <v>246</v>
      </c>
      <c r="E27" s="119" t="s">
        <v>247</v>
      </c>
      <c r="F27" s="119" t="s">
        <v>108</v>
      </c>
      <c r="G27" s="119" t="s">
        <v>103</v>
      </c>
      <c r="H27" s="119" t="s">
        <v>248</v>
      </c>
      <c r="I27" s="119" t="s">
        <v>249</v>
      </c>
      <c r="J27" s="119" t="s">
        <v>250</v>
      </c>
      <c r="K27" s="99" t="s">
        <v>251</v>
      </c>
      <c r="L27" s="119" t="s">
        <v>113</v>
      </c>
      <c r="M27" s="119" t="s">
        <v>252</v>
      </c>
      <c r="N27" s="120" t="str">
        <f>($N$13)</f>
        <v>Jätehuolto</v>
      </c>
      <c r="O27" s="121" t="s">
        <v>200</v>
      </c>
      <c r="P27" s="116" t="str">
        <f>($C$14)</f>
        <v>PAINOTETTU KESKIARVO</v>
      </c>
      <c r="Q27" s="112" t="s">
        <v>200</v>
      </c>
      <c r="R27" s="122" t="str">
        <f>($C$14)</f>
        <v>PAINOTETTU KESKIARVO</v>
      </c>
      <c r="S27" s="117" t="str">
        <f>($J$14)</f>
        <v>HANKINTA</v>
      </c>
      <c r="T27" s="117" t="str">
        <f>($K$14)</f>
        <v>HUOLTO</v>
      </c>
      <c r="U27" s="118" t="s">
        <v>200</v>
      </c>
      <c r="V27" s="123" t="str">
        <f>($C$14)</f>
        <v>PAINOTETTU KESKIARVO</v>
      </c>
      <c r="W27" s="124" t="s">
        <v>200</v>
      </c>
      <c r="X27" s="125" t="str">
        <f>($C$14)</f>
        <v>PAINOTETTU KESKIARVO</v>
      </c>
      <c r="Y27" s="126" t="str">
        <f>($J$14)</f>
        <v>HANKINTA</v>
      </c>
      <c r="Z27" s="126" t="str">
        <f>($K$14)</f>
        <v>HUOLTO</v>
      </c>
    </row>
    <row r="28" spans="1:26" ht="12.5" outlineLevel="1">
      <c r="A28" s="16" t="s">
        <v>253</v>
      </c>
      <c r="B28" s="127">
        <f>((VLOOKUP(B26,'Lähtötiedot - kustannukset'!C:F,4,0))/(VLOOKUP(B26,Lähtötiedot!C:Q,15,0)))</f>
        <v>0.13132963623159699</v>
      </c>
      <c r="C28" s="127">
        <f>((VLOOKUP(B26,Lähtötiedot!C:F,4,0)*'Lähtötiedot - kustannukset'!$F$24))</f>
        <v>3.2404735799334443E-2</v>
      </c>
      <c r="D28" s="127">
        <f>((VLOOKUP(B26,Lähtötiedot!C:G,4,0))*'Kotikonemallien lähtötiedot'!$H$6*'Lähtötiedot - kustannukset'!$F$16)</f>
        <v>6.9071891774891781E-3</v>
      </c>
      <c r="E28" s="127">
        <f>('Kotikonemallien lähtötiedot'!$I$6*(VLOOKUP(B26,Lähtötiedot!C:F,4,0)*'Lähtötiedot - kustannukset'!$F$19))</f>
        <v>8.8267683333333336E-3</v>
      </c>
      <c r="F28" s="127">
        <f>('Kotikonemallien lähtötiedot'!$I$6*(VLOOKUP(B26,Lähtötiedot!C:F,4,0)*'Lähtötiedot - kustannukset'!$F$20))</f>
        <v>1.0458607857142857E-2</v>
      </c>
      <c r="G28" s="128">
        <f>('Kotikonemallien lähtötiedot'!$I$6*(VLOOKUP(B26,Lähtötiedot!C:F,4,0)*'Lähtötiedot - kustannukset'!$F$18))</f>
        <v>7.4174523809523811E-4</v>
      </c>
      <c r="H28" s="129"/>
      <c r="I28" s="129"/>
      <c r="J28" s="128">
        <f>((VLOOKUP(B26,Lähtötiedot!C:F,4,0)*'Lähtötiedot - kustannukset'!$F$26))</f>
        <v>0.10634068773603655</v>
      </c>
      <c r="K28" s="128">
        <f>((VLOOKUP(B26,Lähtötiedot!C:F,4,0)*'Kotikonemallien lähtötiedot'!$R$6*'Lähtötiedot - kustannukset'!$F$16))</f>
        <v>4.4931999999999993E-2</v>
      </c>
      <c r="L28" s="127">
        <f>((VLOOKUP(B26,Lähtötiedot!C:F,4,0)*'Lähtötiedot - kustannukset'!$F$22))</f>
        <v>3.8999999999999998E-3</v>
      </c>
      <c r="M28" s="127">
        <f>(((VLOOKUP(B26,Lähtötiedot!C:F,4,0)/'Kotikonemallien lähtötiedot'!$B$6))*('Lähtötiedot - kustannukset'!$F$27*'Lähtötiedot - kustannukset'!$F$28))</f>
        <v>0.55604838709677418</v>
      </c>
      <c r="N28" s="130">
        <f>(VLOOKUP(B26,Lähtötiedot!$C$3:$F$13,4,0)*('Lähtötiedot - kustannukset'!$F$73))</f>
        <v>0</v>
      </c>
      <c r="O28" s="131">
        <f>SUM(B28:N28)</f>
        <v>0.90188975746980282</v>
      </c>
      <c r="P28" s="348">
        <f ca="1">IFERROR(__xludf.DUMMYFUNCTION("average.weighted(O28,(vlookup(B26,'Lähtötiedot'!C:S,17,0)),O29,0,O30,(vlookup(B26,'Lähtötiedot'!C:S,16,0)))"),0.671891721098341)</f>
        <v>0.67189172109834105</v>
      </c>
      <c r="Q28" s="133">
        <f>(O28*D26)</f>
        <v>6.8673742146010328</v>
      </c>
      <c r="R28" s="348">
        <f ca="1">IFERROR(__xludf.DUMMYFUNCTION("average.weighted(Q28,(vlookup(B26,'Lähtötiedot'!C:S,17,0)),Q29,0,Q30,(vlookup(B26,'Lähtötiedot'!C:S,16,0)))"),5.11607083045196)</f>
        <v>5.1160708304519602</v>
      </c>
      <c r="S28" s="134">
        <f>(B28/O28)</f>
        <v>0.14561606354199469</v>
      </c>
      <c r="T28" s="134">
        <f>(SUM(C28:M28)/O28)</f>
        <v>0.85438393645800526</v>
      </c>
      <c r="U28" s="135">
        <f>(O28+C28+E28+F28+G28+M28)</f>
        <v>1.5103700017944828</v>
      </c>
      <c r="V28" s="348">
        <f ca="1">IFERROR(__xludf.DUMMYFUNCTION("average.weighted(U28,(vlookup(B26,'Lähtötiedot'!C:S,17,0)),U29,0,U30,(vlookup(B26,'Lähtötiedot'!C:S,16,0)))"),1.09782789212561)</f>
        <v>1.0978278921256099</v>
      </c>
      <c r="W28" s="136">
        <f>(U28*D26)</f>
        <v>11.500602949443778</v>
      </c>
      <c r="X28" s="348">
        <f ca="1">IFERROR(__xludf.DUMMYFUNCTION("average.weighted(W28,(vlookup(B26,'Lähtötiedot'!C:S,17,0)),W29,0,W30,(vlookup(B26,'Lähtötiedot'!C:S,16,0)))"),8.35933094484188)</f>
        <v>8.3593309448418793</v>
      </c>
      <c r="Y28" s="137">
        <f>(B28/U28)</f>
        <v>8.6951962814120515E-2</v>
      </c>
      <c r="Z28" s="137">
        <f>(SUM(U28-B28)/U28)</f>
        <v>0.91304803718587946</v>
      </c>
    </row>
    <row r="29" spans="1:26" ht="14" outlineLevel="1">
      <c r="A29" s="138" t="s">
        <v>254</v>
      </c>
      <c r="B29" s="139">
        <f>((VLOOKUP(B26,'Lähtötiedot - kustannukset'!C:F,4,0))/(VLOOKUP(B26,Lähtötiedot!C:Q,15,0)))</f>
        <v>0.13132963623159699</v>
      </c>
      <c r="C29" s="139">
        <f>((VLOOKUP(B26,Lähtötiedot!C:F,4,0)*'Lähtötiedot - kustannukset'!$F$24))</f>
        <v>3.2404735799334443E-2</v>
      </c>
      <c r="D29" s="139">
        <f>((VLOOKUP(B26,Lähtötiedot!C:G,4,0))*'Kotikonemallien lähtötiedot'!$H$6*'Lähtötiedot - kustannukset'!$F$16)</f>
        <v>6.9071891774891781E-3</v>
      </c>
      <c r="E29" s="139">
        <f>('Kotikonemallien lähtötiedot'!$I$6*(VLOOKUP(B26,Lähtötiedot!C:F,4,0)*'Lähtötiedot - kustannukset'!$F$19))</f>
        <v>8.8267683333333336E-3</v>
      </c>
      <c r="F29" s="139">
        <f>('Kotikonemallien lähtötiedot'!$I$6*(VLOOKUP(B26,Lähtötiedot!C:F,4,0)*'Lähtötiedot - kustannukset'!$F$20))</f>
        <v>1.0458607857142857E-2</v>
      </c>
      <c r="G29" s="139">
        <f>('Kotikonemallien lähtötiedot'!$I$6*(VLOOKUP(B26,Lähtötiedot!C:F,4,0)*'Lähtötiedot - kustannukset'!$F$18))</f>
        <v>7.4174523809523811E-4</v>
      </c>
      <c r="H29" s="139">
        <f>((VLOOKUP(B26,Lähtötiedot!C:F,4,0)*'Lähtötiedot - kustannukset'!$F$25))</f>
        <v>4.0613741024137735E-2</v>
      </c>
      <c r="I29" s="140">
        <f>((VLOOKUP(B26,Lähtötiedot!C:F,4,0)*'Kotikonemallien lähtötiedot'!$M$6*'Lähtötiedot - kustannukset'!$F$16))</f>
        <v>2.5618357142857141E-2</v>
      </c>
      <c r="J29" s="140"/>
      <c r="K29" s="140"/>
      <c r="L29" s="139">
        <f>((VLOOKUP(B26,Lähtötiedot!C:F,4,0)*'Lähtötiedot - kustannukset'!$F$22))</f>
        <v>3.8999999999999998E-3</v>
      </c>
      <c r="M29" s="139">
        <f>((VLOOKUP(B26,Lähtötiedot!C:F,4,0)/'Kotikonemallien lähtötiedot'!$B$6*'Lähtötiedot - kustannukset'!$F$27*'Lähtötiedot - kustannukset'!$F$28))</f>
        <v>0.55604838709677418</v>
      </c>
      <c r="N29" s="141">
        <f>(VLOOKUP(B26,Lähtötiedot!$C$3:$F$13,4,0)*('Lähtötiedot - kustannukset'!$F$73))</f>
        <v>0</v>
      </c>
      <c r="O29" s="142">
        <f>SUM(B29:M29)</f>
        <v>0.81684916790076112</v>
      </c>
      <c r="P29" s="302"/>
      <c r="Q29" s="143">
        <f>(O29*D26)</f>
        <v>6.2198388066823327</v>
      </c>
      <c r="R29" s="302"/>
      <c r="S29" s="144">
        <f>(B29/O29)</f>
        <v>0.16077587073890759</v>
      </c>
      <c r="T29" s="144">
        <f>(SUM(C29:M29)/O29)</f>
        <v>0.83922412926109247</v>
      </c>
      <c r="U29" s="145">
        <f>(O29+C29+E29+F29+G29+M29)</f>
        <v>1.425329412225441</v>
      </c>
      <c r="V29" s="302"/>
      <c r="W29" s="146">
        <f>(U29*D26)</f>
        <v>10.853067541525077</v>
      </c>
      <c r="X29" s="302"/>
      <c r="Y29" s="147">
        <f>(B29/U29)</f>
        <v>9.2139848588787057E-2</v>
      </c>
      <c r="Z29" s="147">
        <f>(SUM(U29-B29)/U29)</f>
        <v>0.9078601514112129</v>
      </c>
    </row>
    <row r="30" spans="1:26" ht="14" outlineLevel="1">
      <c r="A30" s="16" t="s">
        <v>255</v>
      </c>
      <c r="B30" s="128">
        <f>((VLOOKUP(B26,'Lähtötiedot - kustannukset'!C:F,4,0))/(VLOOKUP(B26,Lähtötiedot!C:Q,15,0)))</f>
        <v>0.13132963623159699</v>
      </c>
      <c r="C30" s="127"/>
      <c r="D30" s="127"/>
      <c r="E30" s="127"/>
      <c r="F30" s="127"/>
      <c r="G30" s="129"/>
      <c r="H30" s="127"/>
      <c r="I30" s="129"/>
      <c r="J30" s="129"/>
      <c r="K30" s="129"/>
      <c r="L30" s="128">
        <f>((VLOOKUP(B26,Lähtötiedot!C:F,4,0)*'Lähtötiedot - kustannukset'!$F$22))</f>
        <v>3.8999999999999998E-3</v>
      </c>
      <c r="M30" s="127"/>
      <c r="N30" s="148">
        <f>(VLOOKUP(B26,Lähtötiedot!$C$3:$F$13,4,0)*('Lähtötiedot - kustannukset'!$F$73))</f>
        <v>0</v>
      </c>
      <c r="O30" s="131">
        <f>SUM(B30:M30)</f>
        <v>0.13522963623159698</v>
      </c>
      <c r="P30" s="302"/>
      <c r="Q30" s="149">
        <f>(O30*D26)</f>
        <v>1.0296962674374763</v>
      </c>
      <c r="R30" s="302"/>
      <c r="S30" s="134">
        <f>(B30/O30)</f>
        <v>0.97116016792856874</v>
      </c>
      <c r="T30" s="134">
        <f>(SUM(C30:M30)/O30)</f>
        <v>2.8839832071431308E-2</v>
      </c>
      <c r="U30" s="150">
        <f>SUM(B30:M30)</f>
        <v>0.13522963623159698</v>
      </c>
      <c r="V30" s="302"/>
      <c r="W30" s="136">
        <f>(U30*D26)</f>
        <v>1.0296962674374763</v>
      </c>
      <c r="X30" s="302"/>
      <c r="Y30" s="137">
        <f>(B30/U30)</f>
        <v>0.97116016792856874</v>
      </c>
      <c r="Z30" s="137">
        <f>(SUM(U30-B30)/U30)</f>
        <v>2.8839832071431211E-2</v>
      </c>
    </row>
    <row r="31" spans="1:26" ht="13" outlineLevel="1">
      <c r="A31" s="40"/>
      <c r="B31" s="154"/>
      <c r="C31" s="154"/>
      <c r="D31" s="154"/>
      <c r="E31" s="154"/>
      <c r="F31" s="154"/>
      <c r="G31" s="154"/>
      <c r="H31" s="154"/>
      <c r="I31" s="154"/>
      <c r="J31" s="154"/>
      <c r="K31" s="154"/>
      <c r="L31" s="154"/>
      <c r="M31" s="154"/>
      <c r="N31" s="154"/>
      <c r="O31" s="104"/>
      <c r="P31" s="155"/>
      <c r="Q31" s="103"/>
      <c r="S31" s="33"/>
      <c r="T31" s="33"/>
      <c r="U31" s="33"/>
      <c r="V31" s="33"/>
    </row>
    <row r="32" spans="1:26" ht="13">
      <c r="A32" s="109"/>
      <c r="B32" s="154"/>
      <c r="C32" s="154"/>
      <c r="D32" s="154"/>
      <c r="E32" s="154"/>
      <c r="F32" s="154"/>
      <c r="G32" s="154"/>
      <c r="H32" s="154"/>
      <c r="I32" s="154"/>
      <c r="J32" s="154"/>
      <c r="K32" s="154"/>
      <c r="L32" s="154"/>
      <c r="M32" s="154"/>
      <c r="N32" s="154"/>
      <c r="O32" s="104"/>
      <c r="P32" s="155"/>
      <c r="Q32" s="103"/>
      <c r="S32" s="33"/>
      <c r="T32" s="33"/>
      <c r="U32" s="33"/>
      <c r="V32" s="33"/>
    </row>
    <row r="33" spans="1:38" ht="26">
      <c r="A33" s="109" t="str">
        <f>(Lähtötiedot!B3&amp;", skenaario: tuotteet ostettuna, pesu pesulassa")</f>
        <v>Toimija 1, skenaario: tuotteet ostettuna, pesu pesulassa</v>
      </c>
      <c r="B33" s="154"/>
      <c r="C33" s="154"/>
      <c r="D33" s="154"/>
      <c r="E33" s="154"/>
      <c r="F33" s="154"/>
      <c r="G33" s="154"/>
      <c r="H33" s="154"/>
      <c r="I33" s="154"/>
      <c r="J33" s="154"/>
      <c r="K33" s="154"/>
      <c r="L33" s="154"/>
      <c r="M33" s="154"/>
      <c r="N33" s="154"/>
      <c r="O33" s="104"/>
      <c r="P33" s="155"/>
      <c r="Q33" s="103"/>
      <c r="S33" s="33"/>
      <c r="T33" s="33"/>
      <c r="U33" s="33"/>
      <c r="V33" s="33"/>
    </row>
    <row r="34" spans="1:38" ht="26" outlineLevel="1">
      <c r="A34" s="365" t="str">
        <f>(Lähtötiedot!B3&amp;"     "&amp;B34)</f>
        <v>Toimija 1     toimija 1 talvivaate 1</v>
      </c>
      <c r="B34" s="156" t="s">
        <v>257</v>
      </c>
      <c r="C34" s="156" t="str">
        <f>($M$13)</f>
        <v>Pesukerrat vuoden aikana</v>
      </c>
      <c r="D34" s="157">
        <f>(VLOOKUP(B34,Lähtötiedot!$C$3:$Q$36,15,0)/VLOOKUP(B34,Lähtötiedot!$C$3:$Q$36,10,0))</f>
        <v>7.6144275480708821</v>
      </c>
      <c r="E34" s="158" t="str">
        <f>(H13)</f>
        <v>Pesukerrat elinkaaren aikana</v>
      </c>
      <c r="F34" s="159">
        <f>(Lähtötiedot!Q3)</f>
        <v>15.228855096141764</v>
      </c>
      <c r="G34" s="158" t="str">
        <f>($I$13)</f>
        <v>Käyttöikä (a)</v>
      </c>
      <c r="H34" s="159">
        <f>(Lähtötiedot!L3)</f>
        <v>2</v>
      </c>
      <c r="I34" s="158" t="str">
        <f>($J$13)</f>
        <v>Pesukerrat vuoden aikana</v>
      </c>
      <c r="J34" s="158">
        <f>(F34/H34)</f>
        <v>7.6144275480708821</v>
      </c>
      <c r="K34" s="158"/>
      <c r="L34" s="158"/>
      <c r="M34" s="158"/>
      <c r="N34" s="158"/>
      <c r="O34" s="351" t="str">
        <f>($E$14)</f>
        <v>€ / pesuväli</v>
      </c>
      <c r="P34" s="302"/>
      <c r="Q34" s="351" t="str">
        <f>($G$13)</f>
        <v>€ / vuosi</v>
      </c>
      <c r="R34" s="302"/>
      <c r="S34" s="352" t="str">
        <f>($K$13)</f>
        <v>Kustannuksen muodostuminen</v>
      </c>
      <c r="T34" s="302"/>
      <c r="U34" s="160"/>
      <c r="V34" s="160"/>
      <c r="Y34" s="161"/>
      <c r="Z34" s="161"/>
      <c r="AA34" s="161"/>
      <c r="AB34" s="161"/>
      <c r="AC34" s="161"/>
      <c r="AD34" s="161"/>
      <c r="AE34" s="161"/>
      <c r="AF34" s="161"/>
      <c r="AG34" s="161"/>
      <c r="AH34" s="161"/>
      <c r="AI34" s="161"/>
      <c r="AJ34" s="161"/>
      <c r="AK34" s="161"/>
      <c r="AL34" s="161"/>
    </row>
    <row r="35" spans="1:38" ht="26" outlineLevel="1">
      <c r="A35" s="302"/>
      <c r="B35" s="99" t="s">
        <v>244</v>
      </c>
      <c r="C35" s="119" t="s">
        <v>258</v>
      </c>
      <c r="D35" s="119" t="s">
        <v>259</v>
      </c>
      <c r="E35" s="119" t="s">
        <v>258</v>
      </c>
      <c r="F35" s="119"/>
      <c r="G35" s="119"/>
      <c r="H35" s="119"/>
      <c r="I35" s="119"/>
      <c r="J35" s="99"/>
      <c r="K35" s="119"/>
      <c r="L35" s="119"/>
      <c r="M35" s="119"/>
      <c r="N35" s="120" t="str">
        <f>($N$13)</f>
        <v>Jätehuolto</v>
      </c>
      <c r="O35" s="353" t="s">
        <v>200</v>
      </c>
      <c r="P35" s="302"/>
      <c r="Q35" s="353" t="s">
        <v>200</v>
      </c>
      <c r="R35" s="302"/>
      <c r="S35" s="162" t="str">
        <f>($J$14)</f>
        <v>HANKINTA</v>
      </c>
      <c r="T35" s="162" t="str">
        <f>($K$14)</f>
        <v>HUOLTO</v>
      </c>
      <c r="U35" s="33"/>
      <c r="V35" s="33"/>
    </row>
    <row r="36" spans="1:38" ht="12.5" outlineLevel="1">
      <c r="A36" s="22" t="str">
        <f>('Palveluntarjoajien lähtötiedot'!A8)</f>
        <v>PESULA 1</v>
      </c>
      <c r="B36" s="127">
        <f>((VLOOKUP(B34,'Lähtötiedot - kustannukset'!$C:$F,4,0))/(VLOOKUP(B34,Lähtötiedot!$C:$Q,15,0)))</f>
        <v>6.5664818115798496E-2</v>
      </c>
      <c r="C36" s="163">
        <f>((VLOOKUP(A36,'Lähtötiedot - kustannukset'!$B$76:$G$84,5,0))*(VLOOKUP(B34,Lähtötiedot!$C:$G,4,0)))</f>
        <v>0</v>
      </c>
      <c r="D36" s="148">
        <f>(VLOOKUP("*"&amp;B34&amp;"*",'Lähtötiedot - kustannukset'!$C$30:$F$44,4,0))</f>
        <v>2.35</v>
      </c>
      <c r="E36" s="164">
        <f>((VLOOKUP(A36,'Lähtötiedot - kustannukset'!$B$76:$G$84,5,0))*(VLOOKUP(B34,Lähtötiedot!$C:$G,4,0)))</f>
        <v>0</v>
      </c>
      <c r="F36" s="164"/>
      <c r="G36" s="163"/>
      <c r="H36" s="163"/>
      <c r="I36" s="164"/>
      <c r="J36" s="164"/>
      <c r="K36" s="164"/>
      <c r="L36" s="164"/>
      <c r="M36" s="164"/>
      <c r="N36" s="130">
        <f>(VLOOKUP(B34,Lähtötiedot!$C$3:$F$13,4,0)*('Lähtötiedot - kustannukset'!$F$73))</f>
        <v>0</v>
      </c>
      <c r="O36" s="355">
        <f>SUM(B36:L36)</f>
        <v>2.4156648181157987</v>
      </c>
      <c r="P36" s="302"/>
      <c r="Q36" s="354">
        <f>(O36*J34)</f>
        <v>18.393904737966576</v>
      </c>
      <c r="R36" s="302"/>
      <c r="S36" s="134">
        <f>(B36/O36)</f>
        <v>2.7182917772100759E-2</v>
      </c>
      <c r="T36" s="134">
        <f>(SUM(C36:L36)/O36)</f>
        <v>0.9728170822278992</v>
      </c>
      <c r="U36" s="33"/>
      <c r="V36" s="33"/>
    </row>
    <row r="37" spans="1:38" ht="12.5" outlineLevel="1">
      <c r="A37" s="22" t="str">
        <f>('Palveluntarjoajien lähtötiedot'!A9)</f>
        <v>PESULA 2</v>
      </c>
      <c r="B37" s="148">
        <f>((VLOOKUP(B34,'Lähtötiedot - kustannukset'!$C:$F,4,0))/(VLOOKUP(B34,Lähtötiedot!$C:$Q,15,0)))</f>
        <v>6.5664818115798496E-2</v>
      </c>
      <c r="C37" s="163">
        <f>((VLOOKUP(A37,'Lähtötiedot - kustannukset'!$B$77:$G$85,5,0))*(VLOOKUP(B34,Lähtötiedot!$C:$G,4,0)))</f>
        <v>0</v>
      </c>
      <c r="D37" s="148">
        <f>(VLOOKUP("*"&amp;B34&amp;"*",'Lähtötiedot - kustannukset'!$C$44:$F$56,4,0))</f>
        <v>2.2000000000000002</v>
      </c>
      <c r="E37" s="148">
        <f>((VLOOKUP(A37,'Lähtötiedot - kustannukset'!$B$77:$G$85,5,0))*(VLOOKUP(B34,Lähtötiedot!$C:$G,4,0)))</f>
        <v>0</v>
      </c>
      <c r="F37" s="164"/>
      <c r="G37" s="164"/>
      <c r="H37" s="164"/>
      <c r="I37" s="163"/>
      <c r="J37" s="163"/>
      <c r="K37" s="164"/>
      <c r="L37" s="164"/>
      <c r="M37" s="164"/>
      <c r="N37" s="130">
        <f>(VLOOKUP(B34,Lähtötiedot!$C$3:$F$13,4,0)*('Lähtötiedot - kustannukset'!$F$73))</f>
        <v>0</v>
      </c>
      <c r="O37" s="355">
        <f>SUM(B37:L37)</f>
        <v>2.2656648181157988</v>
      </c>
      <c r="P37" s="302"/>
      <c r="Q37" s="354">
        <f>(O37*J34)</f>
        <v>17.251740605755941</v>
      </c>
      <c r="R37" s="302"/>
      <c r="S37" s="134">
        <f>(B37/O37)</f>
        <v>2.8982582768093436E-2</v>
      </c>
      <c r="T37" s="134">
        <f>(SUM(C37:L37)/O37)</f>
        <v>0.97101741723190649</v>
      </c>
      <c r="U37" s="33"/>
      <c r="V37" s="33"/>
    </row>
    <row r="38" spans="1:38" ht="14" outlineLevel="1">
      <c r="A38" s="165" t="str">
        <f>('Palveluntarjoajien lähtötiedot'!A10)</f>
        <v>PESULA 3</v>
      </c>
      <c r="B38" s="127">
        <f>((VLOOKUP(B34,'Lähtötiedot - kustannukset'!$C:$F,4,0))/(VLOOKUP(B34,Lähtötiedot!$C:$Q,15,0)))</f>
        <v>6.5664818115798496E-2</v>
      </c>
      <c r="C38" s="163">
        <f>((VLOOKUP(A38,'Lähtötiedot - kustannukset'!$B$76:$G$84,5,0))*(VLOOKUP(B34,Lähtötiedot!$C:$G,4,0)))</f>
        <v>0</v>
      </c>
      <c r="D38" s="148">
        <f>(VLOOKUP("*"&amp;B34&amp;"*",'Lähtötiedot - kustannukset'!$C$58:$F$70,4,0))</f>
        <v>0</v>
      </c>
      <c r="E38" s="164">
        <f>((VLOOKUP(A38,'Lähtötiedot - kustannukset'!$B$76:$G$84,5,0))*(VLOOKUP(B34,Lähtötiedot!$C:$G,4,0)))</f>
        <v>0</v>
      </c>
      <c r="F38" s="166"/>
      <c r="G38" s="166"/>
      <c r="H38" s="167"/>
      <c r="I38" s="167"/>
      <c r="J38" s="167"/>
      <c r="K38" s="168"/>
      <c r="L38" s="168"/>
      <c r="M38" s="168"/>
      <c r="N38" s="130">
        <f>(VLOOKUP(B34,Lähtötiedot!$C$3:$F$13,4,0)*('Lähtötiedot - kustannukset'!$F$73))</f>
        <v>0</v>
      </c>
      <c r="O38" s="355">
        <f>SUM(B38:L38)</f>
        <v>6.5664818115798496E-2</v>
      </c>
      <c r="P38" s="302"/>
      <c r="Q38" s="354">
        <f>(O38*J34)</f>
        <v>0.5</v>
      </c>
      <c r="R38" s="302"/>
      <c r="S38" s="134">
        <f>(B38/O38)</f>
        <v>1</v>
      </c>
      <c r="T38" s="134">
        <f>(SUM(C38:L38)/O38)</f>
        <v>0</v>
      </c>
      <c r="U38" s="33"/>
      <c r="V38" s="33"/>
    </row>
    <row r="39" spans="1:38" ht="14" outlineLevel="1">
      <c r="A39" s="16"/>
      <c r="B39" s="169"/>
      <c r="C39" s="170"/>
      <c r="D39" s="98"/>
      <c r="E39" s="98"/>
      <c r="F39" s="99"/>
      <c r="G39" s="99"/>
      <c r="H39" s="151"/>
      <c r="I39" s="151"/>
      <c r="J39" s="151"/>
      <c r="K39" s="171"/>
      <c r="L39" s="171"/>
      <c r="M39" s="171"/>
      <c r="N39" s="171"/>
      <c r="O39" s="33"/>
      <c r="P39" s="153"/>
      <c r="Q39" s="103"/>
      <c r="S39" s="33"/>
      <c r="T39" s="33"/>
      <c r="U39" s="33"/>
      <c r="V39" s="33"/>
    </row>
    <row r="40" spans="1:38" ht="28" outlineLevel="1">
      <c r="A40" s="365" t="str">
        <f>(Lähtötiedot!B3&amp;"     "&amp;B40)</f>
        <v>Toimija 1     toimija 1 talvivaate 2</v>
      </c>
      <c r="B40" s="156" t="s">
        <v>256</v>
      </c>
      <c r="C40" s="156" t="str">
        <f>($M$13)</f>
        <v>Pesukerrat vuoden aikana</v>
      </c>
      <c r="D40" s="157">
        <f>(VLOOKUP(B40,Lähtötiedot!$C$3:$Q$36,15,0)/VLOOKUP(B40,Lähtötiedot!$C$3:$Q$36,10,0))</f>
        <v>7.6144275480708821</v>
      </c>
      <c r="E40" s="172" t="str">
        <f>(H13)</f>
        <v>Pesukerrat elinkaaren aikana</v>
      </c>
      <c r="F40" s="172">
        <f>(Lähtötiedot!Q4)</f>
        <v>15.228855096141764</v>
      </c>
      <c r="G40" s="172" t="str">
        <f>($I$13)</f>
        <v>Käyttöikä (a)</v>
      </c>
      <c r="H40" s="158">
        <f>(Lähtötiedot!L4)</f>
        <v>2</v>
      </c>
      <c r="I40" s="158" t="str">
        <f>($J$13)</f>
        <v>Pesukerrat vuoden aikana</v>
      </c>
      <c r="J40" s="158">
        <f>(F40/H40)</f>
        <v>7.6144275480708821</v>
      </c>
      <c r="K40" s="158"/>
      <c r="L40" s="158"/>
      <c r="M40" s="158"/>
      <c r="N40" s="158"/>
      <c r="O40" s="351" t="str">
        <f>($E$14)</f>
        <v>€ / pesuväli</v>
      </c>
      <c r="P40" s="302"/>
      <c r="Q40" s="351" t="str">
        <f>($G$13)</f>
        <v>€ / vuosi</v>
      </c>
      <c r="R40" s="302"/>
      <c r="S40" s="352" t="str">
        <f>($K$13)</f>
        <v>Kustannuksen muodostuminen</v>
      </c>
      <c r="T40" s="302"/>
      <c r="U40" s="160"/>
      <c r="V40" s="160"/>
      <c r="Y40" s="161"/>
      <c r="Z40" s="161"/>
      <c r="AA40" s="161"/>
      <c r="AB40" s="161"/>
      <c r="AC40" s="161"/>
      <c r="AD40" s="161"/>
      <c r="AE40" s="161"/>
      <c r="AF40" s="161"/>
      <c r="AG40" s="161"/>
      <c r="AH40" s="161"/>
      <c r="AI40" s="161"/>
      <c r="AJ40" s="161"/>
      <c r="AK40" s="161"/>
      <c r="AL40" s="161"/>
    </row>
    <row r="41" spans="1:38" ht="26" outlineLevel="1">
      <c r="A41" s="302"/>
      <c r="B41" s="99" t="s">
        <v>244</v>
      </c>
      <c r="C41" s="119" t="s">
        <v>258</v>
      </c>
      <c r="D41" s="119" t="s">
        <v>259</v>
      </c>
      <c r="E41" s="119" t="s">
        <v>258</v>
      </c>
      <c r="F41" s="119"/>
      <c r="G41" s="119"/>
      <c r="H41" s="119"/>
      <c r="I41" s="119"/>
      <c r="J41" s="99"/>
      <c r="K41" s="119"/>
      <c r="L41" s="119"/>
      <c r="M41" s="119"/>
      <c r="N41" s="120" t="str">
        <f>($N$13)</f>
        <v>Jätehuolto</v>
      </c>
      <c r="O41" s="353" t="s">
        <v>200</v>
      </c>
      <c r="P41" s="302"/>
      <c r="Q41" s="353" t="s">
        <v>200</v>
      </c>
      <c r="R41" s="302"/>
      <c r="S41" s="162" t="str">
        <f>($J$14)</f>
        <v>HANKINTA</v>
      </c>
      <c r="T41" s="162" t="str">
        <f>($K$14)</f>
        <v>HUOLTO</v>
      </c>
      <c r="U41" s="33"/>
      <c r="V41" s="33"/>
    </row>
    <row r="42" spans="1:38" ht="12.5" outlineLevel="1">
      <c r="A42" s="22" t="str">
        <f>('Palveluntarjoajien lähtötiedot'!A8)</f>
        <v>PESULA 1</v>
      </c>
      <c r="B42" s="127">
        <f>((VLOOKUP(B40,'Lähtötiedot - kustannukset'!$C:$F,4,0))/(VLOOKUP(B40,Lähtötiedot!$C:$Q,15,0)))</f>
        <v>0.13132963623159699</v>
      </c>
      <c r="C42" s="163">
        <f>((VLOOKUP(A42,'Lähtötiedot - kustannukset'!$B$76:$G$84,5,0))*(VLOOKUP(B40,Lähtötiedot!$C:$G,4,0)))</f>
        <v>0</v>
      </c>
      <c r="D42" s="148">
        <f>(VLOOKUP("*"&amp;B40&amp;"*",'Lähtötiedot - kustannukset'!$C$30:$F$44,4,0))</f>
        <v>2.42</v>
      </c>
      <c r="E42" s="164">
        <f>((VLOOKUP(A42,'Lähtötiedot - kustannukset'!$B$76:$G$84,5,0))*(VLOOKUP(B40,Lähtötiedot!$C:$G,4,0)))</f>
        <v>0</v>
      </c>
      <c r="F42" s="164"/>
      <c r="G42" s="163"/>
      <c r="H42" s="163"/>
      <c r="I42" s="164"/>
      <c r="J42" s="164"/>
      <c r="K42" s="164"/>
      <c r="L42" s="164"/>
      <c r="M42" s="164"/>
      <c r="N42" s="130">
        <f>(VLOOKUP(B40,Lähtötiedot!$C$3:$F$13,4,0)*('Lähtötiedot - kustannukset'!$F$73))</f>
        <v>0</v>
      </c>
      <c r="O42" s="355">
        <f>SUM(B42:L42)</f>
        <v>2.5513296362315971</v>
      </c>
      <c r="P42" s="302"/>
      <c r="Q42" s="354">
        <f>(O42*J40)</f>
        <v>19.426914666331534</v>
      </c>
      <c r="R42" s="302"/>
      <c r="S42" s="134">
        <f>(B42/O42)</f>
        <v>5.1474977739675944E-2</v>
      </c>
      <c r="T42" s="134">
        <f>(SUM(C42:L42)/O42)</f>
        <v>0.94852502226032398</v>
      </c>
      <c r="U42" s="33"/>
      <c r="V42" s="33"/>
    </row>
    <row r="43" spans="1:38" ht="12.5" outlineLevel="1">
      <c r="A43" s="22" t="str">
        <f>('Palveluntarjoajien lähtötiedot'!A9)</f>
        <v>PESULA 2</v>
      </c>
      <c r="B43" s="148">
        <f>((VLOOKUP(B40,'Lähtötiedot - kustannukset'!$C:$F,4,0))/(VLOOKUP(B40,Lähtötiedot!$C:$Q,15,0)))</f>
        <v>0.13132963623159699</v>
      </c>
      <c r="C43" s="163">
        <f>((VLOOKUP(A43,'Lähtötiedot - kustannukset'!$B$77:$G$85,5,0))*(VLOOKUP(B40,Lähtötiedot!$C:$G,4,0)))</f>
        <v>0</v>
      </c>
      <c r="D43" s="148">
        <f>(VLOOKUP("*"&amp;B40&amp;"*",'Lähtötiedot - kustannukset'!$C$44:$F$56,4,0))</f>
        <v>2.2000000000000002</v>
      </c>
      <c r="E43" s="148">
        <f>((VLOOKUP(A43,'Lähtötiedot - kustannukset'!$B$77:$G$85,5,0))*(VLOOKUP(B40,Lähtötiedot!$C:$G,4,0)))</f>
        <v>0</v>
      </c>
      <c r="F43" s="164"/>
      <c r="G43" s="164"/>
      <c r="H43" s="164"/>
      <c r="I43" s="163"/>
      <c r="J43" s="163"/>
      <c r="K43" s="164"/>
      <c r="L43" s="164"/>
      <c r="M43" s="164"/>
      <c r="N43" s="164">
        <f>(VLOOKUP(B40,Lähtötiedot!$C$3:$F$13,4,0)*('Lähtötiedot - kustannukset'!$F$73))</f>
        <v>0</v>
      </c>
      <c r="O43" s="355">
        <f>SUM(B43:L43)</f>
        <v>2.3313296362315974</v>
      </c>
      <c r="P43" s="302"/>
      <c r="Q43" s="354">
        <f>(O43*J40)</f>
        <v>17.751740605755945</v>
      </c>
      <c r="R43" s="302"/>
      <c r="S43" s="134">
        <f>(B43/O43)</f>
        <v>5.6332504074318959E-2</v>
      </c>
      <c r="T43" s="134">
        <f>(SUM(C43:L43)/O43)</f>
        <v>0.943667495925681</v>
      </c>
      <c r="U43" s="33"/>
      <c r="V43" s="33"/>
    </row>
    <row r="44" spans="1:38" ht="14" outlineLevel="1">
      <c r="A44" s="165" t="str">
        <f>('Palveluntarjoajien lähtötiedot'!A10)</f>
        <v>PESULA 3</v>
      </c>
      <c r="B44" s="127">
        <f>((VLOOKUP(B40,'Lähtötiedot - kustannukset'!$C:$F,4,0))/(VLOOKUP(B40,Lähtötiedot!$C:$Q,15,0)))</f>
        <v>0.13132963623159699</v>
      </c>
      <c r="C44" s="163">
        <f>((VLOOKUP(A44,'Lähtötiedot - kustannukset'!$B$76:$G$84,5,0))*(VLOOKUP(B40,Lähtötiedot!$C:$G,4,0)))</f>
        <v>0</v>
      </c>
      <c r="D44" s="148">
        <f>(VLOOKUP("*"&amp;B40&amp;"*",'Lähtötiedot - kustannukset'!$C$58:$F$70,4,0))</f>
        <v>0</v>
      </c>
      <c r="E44" s="164">
        <f>((VLOOKUP(A44,'Lähtötiedot - kustannukset'!$B$76:$G$84,5,0))*(VLOOKUP(B40,Lähtötiedot!$C:$G,4,0)))</f>
        <v>0</v>
      </c>
      <c r="F44" s="166"/>
      <c r="G44" s="166"/>
      <c r="H44" s="167"/>
      <c r="I44" s="167"/>
      <c r="J44" s="167"/>
      <c r="K44" s="168"/>
      <c r="L44" s="168"/>
      <c r="M44" s="168"/>
      <c r="N44" s="130">
        <f>(VLOOKUP(B40,Lähtötiedot!$C$3:$F$13,4,0)*('Lähtötiedot - kustannukset'!$F$73))</f>
        <v>0</v>
      </c>
      <c r="O44" s="355">
        <f>SUM(B44:L44)</f>
        <v>0.13132963623159699</v>
      </c>
      <c r="P44" s="302"/>
      <c r="Q44" s="354">
        <f>(O44*J40)</f>
        <v>1</v>
      </c>
      <c r="R44" s="302"/>
      <c r="S44" s="134">
        <f>(B44/O44)</f>
        <v>1</v>
      </c>
      <c r="T44" s="134">
        <f>(SUM(C44:L44)/O44)</f>
        <v>0</v>
      </c>
      <c r="U44" s="33"/>
      <c r="V44" s="33"/>
    </row>
    <row r="45" spans="1:38" ht="14">
      <c r="A45" s="16"/>
      <c r="C45" s="170"/>
      <c r="D45" s="98"/>
      <c r="E45" s="98"/>
      <c r="F45" s="99"/>
      <c r="G45" s="99"/>
      <c r="H45" s="151"/>
      <c r="I45" s="151"/>
      <c r="J45" s="151"/>
      <c r="K45" s="171"/>
      <c r="L45" s="171"/>
      <c r="M45" s="171"/>
      <c r="N45" s="171"/>
      <c r="O45" s="33"/>
      <c r="P45" s="153"/>
      <c r="Q45" s="103"/>
      <c r="S45" s="33"/>
      <c r="T45" s="33"/>
      <c r="U45" s="33"/>
      <c r="V45" s="33"/>
    </row>
    <row r="46" spans="1:38" ht="14">
      <c r="A46" s="173"/>
      <c r="B46" s="174"/>
      <c r="C46" s="170"/>
      <c r="D46" s="98"/>
      <c r="E46" s="98"/>
      <c r="F46" s="99"/>
      <c r="G46" s="99"/>
      <c r="H46" s="151"/>
      <c r="I46" s="151"/>
      <c r="J46" s="151"/>
      <c r="K46" s="171"/>
      <c r="L46" s="171"/>
      <c r="M46" s="171"/>
      <c r="N46" s="171"/>
      <c r="O46" s="33"/>
      <c r="P46" s="153"/>
      <c r="Q46" s="103"/>
      <c r="S46" s="33"/>
      <c r="T46" s="33"/>
      <c r="U46" s="33"/>
      <c r="V46" s="33"/>
    </row>
    <row r="47" spans="1:38" ht="26" collapsed="1">
      <c r="A47" s="173" t="str">
        <f>(Lähtötiedot!B5&amp;", nykytila: tuotteet ostettuna, pesu toimipisteellä tai kotona")</f>
        <v>Toimija 2, nykytila: tuotteet ostettuna, pesu toimipisteellä tai kotona</v>
      </c>
      <c r="B47" s="174"/>
      <c r="C47" s="170"/>
      <c r="D47" s="98"/>
      <c r="E47" s="98"/>
      <c r="F47" s="99"/>
      <c r="G47" s="99"/>
      <c r="H47" s="151"/>
      <c r="I47" s="151"/>
      <c r="J47" s="151"/>
      <c r="K47" s="171"/>
      <c r="L47" s="171"/>
      <c r="M47" s="171"/>
      <c r="N47" s="171"/>
      <c r="O47" s="33"/>
      <c r="P47" s="153"/>
      <c r="Q47" s="103"/>
      <c r="S47" s="33"/>
      <c r="T47" s="33"/>
      <c r="U47" s="33"/>
      <c r="V47" s="33"/>
    </row>
    <row r="48" spans="1:38" ht="14" hidden="1" outlineLevel="1">
      <c r="A48" s="16"/>
      <c r="B48" s="174"/>
      <c r="C48" s="170"/>
      <c r="D48" s="98"/>
      <c r="E48" s="98"/>
      <c r="F48" s="99"/>
      <c r="G48" s="99"/>
      <c r="H48" s="151"/>
      <c r="I48" s="151"/>
      <c r="J48" s="151"/>
      <c r="K48" s="171"/>
      <c r="L48" s="171"/>
      <c r="M48" s="171"/>
      <c r="N48" s="171"/>
      <c r="O48" s="359" t="str">
        <f>($C$13)</f>
        <v xml:space="preserve">Täyttömäärä: 100 % </v>
      </c>
      <c r="P48" s="302"/>
      <c r="Q48" s="302"/>
      <c r="R48" s="302"/>
      <c r="S48" s="302"/>
      <c r="T48" s="302"/>
      <c r="U48" s="360" t="str">
        <f>($D$13)</f>
        <v>Pesukoneen kustannukset 2-kertaisena ("epäoptimaalinen pesu")</v>
      </c>
      <c r="V48" s="302"/>
      <c r="W48" s="302"/>
      <c r="X48" s="302"/>
      <c r="Y48" s="302"/>
      <c r="Z48" s="302"/>
    </row>
    <row r="49" spans="1:26" ht="14" hidden="1" outlineLevel="1">
      <c r="A49" s="26" t="str">
        <f>(Lähtötiedot!B5)</f>
        <v>Toimija 2</v>
      </c>
      <c r="B49" s="174"/>
      <c r="C49" s="170"/>
      <c r="D49" s="98"/>
      <c r="E49" s="98"/>
      <c r="F49" s="99"/>
      <c r="G49" s="99"/>
      <c r="H49" s="151"/>
      <c r="I49" s="151"/>
      <c r="J49" s="151"/>
      <c r="K49" s="171"/>
      <c r="L49" s="171"/>
      <c r="M49" s="171"/>
      <c r="N49" s="171"/>
      <c r="O49" s="110"/>
      <c r="S49" s="357"/>
      <c r="T49" s="302"/>
      <c r="U49" s="111"/>
      <c r="V49" s="33"/>
      <c r="W49" s="33"/>
      <c r="X49" s="33"/>
      <c r="Y49" s="356"/>
      <c r="Z49" s="302"/>
    </row>
    <row r="50" spans="1:26" ht="26" hidden="1" outlineLevel="1">
      <c r="A50" s="364" t="str">
        <f>(Lähtötiedot!$B$5&amp;" - Nykytilanne: "&amp;B50&amp;" ostettuna, Pesu "&amp;(VLOOKUP(B50,Lähtötiedot!C:S,17,0)&amp;" toimipisteellä, "&amp;(VLOOKUP(B50,Lähtötiedot!C:S,16,0)&amp;" kotona")))</f>
        <v>Toimija 2 - Nykytilanne: toimija 2 vaate 1 ostettuna, Pesu 0,4 toimipisteellä, 0,4 kotona</v>
      </c>
      <c r="B50" s="113" t="s">
        <v>260</v>
      </c>
      <c r="C50" s="114" t="str">
        <f>($M$13)</f>
        <v>Pesukerrat vuoden aikana</v>
      </c>
      <c r="D50" s="41">
        <f>(VLOOKUP(B50,Lähtötiedot!$C$3:$Q$36,15,0)/VLOOKUP(B50,Lähtötiedot!$C$3:$Q$36,10,0))</f>
        <v>202.12844036697251</v>
      </c>
      <c r="E50" s="114"/>
      <c r="F50" s="114"/>
      <c r="G50" s="114"/>
      <c r="H50" s="114"/>
      <c r="I50" s="114"/>
      <c r="J50" s="114"/>
      <c r="K50" s="114"/>
      <c r="L50" s="115"/>
      <c r="M50" s="115"/>
      <c r="N50" s="115"/>
      <c r="O50" s="349" t="str">
        <f>($E$14)</f>
        <v>€ / pesuväli</v>
      </c>
      <c r="P50" s="302"/>
      <c r="Q50" s="350" t="str">
        <f>($G$13)</f>
        <v>€ / vuosi</v>
      </c>
      <c r="R50" s="302"/>
      <c r="S50" s="349" t="str">
        <f>($K$13)</f>
        <v>Kustannuksen muodostuminen</v>
      </c>
      <c r="T50" s="302"/>
      <c r="U50" s="345" t="str">
        <f>($E$14)</f>
        <v>€ / pesuväli</v>
      </c>
      <c r="V50" s="302"/>
      <c r="W50" s="346" t="str">
        <f>($G$13)</f>
        <v>€ / vuosi</v>
      </c>
      <c r="X50" s="302"/>
      <c r="Y50" s="347" t="str">
        <f>($K$13)</f>
        <v>Kustannuksen muodostuminen</v>
      </c>
      <c r="Z50" s="302"/>
    </row>
    <row r="51" spans="1:26" ht="40.5" hidden="1" customHeight="1" outlineLevel="1">
      <c r="A51" s="302"/>
      <c r="B51" s="119" t="s">
        <v>244</v>
      </c>
      <c r="C51" s="119" t="s">
        <v>245</v>
      </c>
      <c r="D51" s="119" t="s">
        <v>246</v>
      </c>
      <c r="E51" s="119" t="s">
        <v>247</v>
      </c>
      <c r="F51" s="119" t="s">
        <v>108</v>
      </c>
      <c r="G51" s="119" t="s">
        <v>103</v>
      </c>
      <c r="H51" s="119" t="s">
        <v>248</v>
      </c>
      <c r="I51" s="119" t="s">
        <v>249</v>
      </c>
      <c r="J51" s="119" t="s">
        <v>250</v>
      </c>
      <c r="K51" s="99" t="s">
        <v>251</v>
      </c>
      <c r="L51" s="119" t="s">
        <v>113</v>
      </c>
      <c r="M51" s="119" t="s">
        <v>252</v>
      </c>
      <c r="N51" s="120" t="str">
        <f>($N$13)</f>
        <v>Jätehuolto</v>
      </c>
      <c r="O51" s="121" t="s">
        <v>200</v>
      </c>
      <c r="P51" s="116" t="str">
        <f>($C$14)</f>
        <v>PAINOTETTU KESKIARVO</v>
      </c>
      <c r="Q51" s="112" t="s">
        <v>200</v>
      </c>
      <c r="R51" s="122" t="str">
        <f>($C$14)</f>
        <v>PAINOTETTU KESKIARVO</v>
      </c>
      <c r="S51" s="117" t="str">
        <f>($J$14)</f>
        <v>HANKINTA</v>
      </c>
      <c r="T51" s="117" t="str">
        <f>($K$14)</f>
        <v>HUOLTO</v>
      </c>
      <c r="U51" s="118" t="s">
        <v>200</v>
      </c>
      <c r="V51" s="123" t="str">
        <f>($C$14)</f>
        <v>PAINOTETTU KESKIARVO</v>
      </c>
      <c r="W51" s="124" t="s">
        <v>200</v>
      </c>
      <c r="X51" s="125" t="str">
        <f>($C$14)</f>
        <v>PAINOTETTU KESKIARVO</v>
      </c>
      <c r="Y51" s="126" t="str">
        <f>($J$14)</f>
        <v>HANKINTA</v>
      </c>
      <c r="Z51" s="126" t="str">
        <f>($K$14)</f>
        <v>HUOLTO</v>
      </c>
    </row>
    <row r="52" spans="1:26" ht="12.5" hidden="1" outlineLevel="1">
      <c r="A52" s="16" t="s">
        <v>253</v>
      </c>
      <c r="B52" s="127">
        <f>((VLOOKUP(B50,'Lähtötiedot - kustannukset'!C:F,4,0))/(VLOOKUP(B50,Lähtötiedot!C:Q,15,0)))</f>
        <v>9.8946986201888139E-3</v>
      </c>
      <c r="C52" s="127">
        <f>((VLOOKUP(B50,Lähtötiedot!C:F,4,0)*'Lähtötiedot - kustannukset'!$F$24))</f>
        <v>3.2404735799334443E-2</v>
      </c>
      <c r="D52" s="127">
        <f>((VLOOKUP(B50,Lähtötiedot!C:G,4,0))*'Kotikonemallien lähtötiedot'!$H$6*'Lähtötiedot - kustannukset'!$F$16)</f>
        <v>6.9071891774891781E-3</v>
      </c>
      <c r="E52" s="127">
        <f>('Kotikonemallien lähtötiedot'!$I$6*(VLOOKUP(B50,Lähtötiedot!C:F,4,0)*'Lähtötiedot - kustannukset'!$F$19))</f>
        <v>8.8267683333333336E-3</v>
      </c>
      <c r="F52" s="127">
        <f>('Kotikonemallien lähtötiedot'!$I$6*(VLOOKUP(B50,Lähtötiedot!C:F,4,0)*'Lähtötiedot - kustannukset'!$F$20))</f>
        <v>1.0458607857142857E-2</v>
      </c>
      <c r="G52" s="128">
        <f>('Kotikonemallien lähtötiedot'!$I$6*(VLOOKUP(B50,Lähtötiedot!C:F,4,0)*'Lähtötiedot - kustannukset'!$F$18))</f>
        <v>7.4174523809523811E-4</v>
      </c>
      <c r="H52" s="129"/>
      <c r="I52" s="129"/>
      <c r="J52" s="128">
        <f>((VLOOKUP(B50,Lähtötiedot!C:F,4,0)*'Lähtötiedot - kustannukset'!$F$26))</f>
        <v>0.10634068773603655</v>
      </c>
      <c r="K52" s="128">
        <f>((VLOOKUP(B50,Lähtötiedot!C:F,4,0)*'Kotikonemallien lähtötiedot'!$R$6*'Lähtötiedot - kustannukset'!$F$16))</f>
        <v>4.4931999999999993E-2</v>
      </c>
      <c r="L52" s="127">
        <f>((VLOOKUP(B50,Lähtötiedot!C:F,4,0)*'Lähtötiedot - kustannukset'!$F$22))</f>
        <v>3.8999999999999998E-3</v>
      </c>
      <c r="M52" s="127">
        <f>(((VLOOKUP(B50,Lähtötiedot!C:F,4,0)/'Kotikonemallien lähtötiedot'!$B$6))*('Lähtötiedot - kustannukset'!$F$27*'Lähtötiedot - kustannukset'!$F$28))</f>
        <v>0.55604838709677418</v>
      </c>
      <c r="N52" s="130">
        <f>(VLOOKUP(B50,Lähtötiedot!$C$3:$F$13,4,0)*('Lähtötiedot - kustannukset'!$F$73))</f>
        <v>0</v>
      </c>
      <c r="O52" s="131">
        <f>SUM(B52:N52)</f>
        <v>0.7804548198583946</v>
      </c>
      <c r="P52" s="348">
        <f ca="1">IFERROR(__xludf.DUMMYFUNCTION("average.weighted(O52,(vlookup(B50,'Lähtötiedot'!C:S,17,0)),O53,0,O54,(vlookup(B50,'Lähtötiedot'!C:S,16,0)))"),0.397124759239291)</f>
        <v>0.39712475923929103</v>
      </c>
      <c r="Q52" s="133">
        <f>(O52*((VLOOKUP(B50,Lähtötiedot!C:Q,15,0)/(VLOOKUP(B50,Lähtötiedot!C:L,10,0)))))</f>
        <v>157.75211551486379</v>
      </c>
      <c r="R52" s="348">
        <f ca="1">IFERROR(__xludf.DUMMYFUNCTION("average.weighted(Q52,(vlookup(B50,'Lähtötiedot'!C:S,17,0)),Q53,0,Q54,(vlookup(B50,'Lähtötiedot'!C:S,16,0)))"),80.2702082161475)</f>
        <v>80.270208216147495</v>
      </c>
      <c r="S52" s="134">
        <f>(B52/O52)</f>
        <v>1.2678118410472632E-2</v>
      </c>
      <c r="T52" s="134">
        <f>(SUM(C52:M52)/O52)</f>
        <v>0.98732188158952738</v>
      </c>
      <c r="U52" s="135">
        <f>(O52+C52+E52+F52+G52+M52)</f>
        <v>1.3889350641830744</v>
      </c>
      <c r="V52" s="348">
        <f ca="1">IFERROR(__xludf.DUMMYFUNCTION("average.weighted(U52,(vlookup(B50,'Lähtötiedot'!C:S,17,0)),U53,0,U54,(vlookup(B50,'Lähtötiedot'!C:S,16,0)))"),0.701364881401631)</f>
        <v>0.701364881401631</v>
      </c>
      <c r="W52" s="136">
        <f>(U52*((VLOOKUP(B50,Lähtötiedot!C:Q,15,0)/(VLOOKUP(B50,Lähtötiedot!C:L,10,0)))))</f>
        <v>280.74327829432571</v>
      </c>
      <c r="X52" s="348">
        <f ca="1">IFERROR(__xludf.DUMMYFUNCTION("average.weighted(W52,(vlookup(B50,'Lähtötiedot'!C:S,17,0)),W53,0,W54,(vlookup(B50,'Lähtötiedot'!C:S,16,0)))"),141.765789605878)</f>
        <v>141.76578960587801</v>
      </c>
      <c r="Y52" s="137">
        <f>(B52/U52)</f>
        <v>7.1239461623128853E-3</v>
      </c>
      <c r="Z52" s="137">
        <f>(SUM(U52-B52)/U52)</f>
        <v>0.99287605383768707</v>
      </c>
    </row>
    <row r="53" spans="1:26" ht="14" hidden="1" outlineLevel="1">
      <c r="A53" s="138" t="s">
        <v>254</v>
      </c>
      <c r="B53" s="139">
        <f>((VLOOKUP(B50,'Lähtötiedot - kustannukset'!C:F,4,0))/(VLOOKUP(B50,Lähtötiedot!C:Q,15,0)))</f>
        <v>9.8946986201888139E-3</v>
      </c>
      <c r="C53" s="139">
        <f>((VLOOKUP(B50,Lähtötiedot!C:F,4,0)*'Lähtötiedot - kustannukset'!$F$24))</f>
        <v>3.2404735799334443E-2</v>
      </c>
      <c r="D53" s="139">
        <f>((VLOOKUP(B50,Lähtötiedot!C:G,4,0))*'Kotikonemallien lähtötiedot'!$H$6*'Lähtötiedot - kustannukset'!$F$16)</f>
        <v>6.9071891774891781E-3</v>
      </c>
      <c r="E53" s="139">
        <f>('Kotikonemallien lähtötiedot'!$I$6*(VLOOKUP(B50,Lähtötiedot!C:F,4,0)*'Lähtötiedot - kustannukset'!$F$19))</f>
        <v>8.8267683333333336E-3</v>
      </c>
      <c r="F53" s="139">
        <f>('Kotikonemallien lähtötiedot'!$I$6*(VLOOKUP(B50,Lähtötiedot!C:F,4,0)*'Lähtötiedot - kustannukset'!$F$20))</f>
        <v>1.0458607857142857E-2</v>
      </c>
      <c r="G53" s="139">
        <f>('Kotikonemallien lähtötiedot'!$I$6*(VLOOKUP(B50,Lähtötiedot!C:F,4,0)*'Lähtötiedot - kustannukset'!$F$18))</f>
        <v>7.4174523809523811E-4</v>
      </c>
      <c r="H53" s="139">
        <f>((VLOOKUP(B50,Lähtötiedot!C:F,4,0)*'Lähtötiedot - kustannukset'!$F$25))</f>
        <v>4.0613741024137735E-2</v>
      </c>
      <c r="I53" s="140">
        <f>((VLOOKUP(B50,Lähtötiedot!C:F,4,0)*'Kotikonemallien lähtötiedot'!$M$6*'Lähtötiedot - kustannukset'!$F$16))</f>
        <v>2.5618357142857141E-2</v>
      </c>
      <c r="J53" s="140"/>
      <c r="K53" s="140"/>
      <c r="L53" s="139">
        <f>((VLOOKUP(B50,Lähtötiedot!C:F,4,0)*'Lähtötiedot - kustannukset'!$F$22))</f>
        <v>3.8999999999999998E-3</v>
      </c>
      <c r="M53" s="139">
        <f>((VLOOKUP(B50,Lähtötiedot!C:F,4,0)/'Kotikonemallien lähtötiedot'!$B$6*'Lähtötiedot - kustannukset'!$F$27*'Lähtötiedot - kustannukset'!$F$28))</f>
        <v>0.55604838709677418</v>
      </c>
      <c r="N53" s="141">
        <f>(VLOOKUP(B50,Lähtötiedot!$C$3:$F$13,4,0)*('Lähtötiedot - kustannukset'!$F$73))</f>
        <v>0</v>
      </c>
      <c r="O53" s="142">
        <f>SUM(B53:M53)</f>
        <v>0.6954142302893529</v>
      </c>
      <c r="P53" s="302"/>
      <c r="Q53" s="143">
        <f>(O53*((VLOOKUP(B50,Lähtötiedot!C:Q,15,0)/(VLOOKUP(B50,Lähtötiedot!C:L,10,0)))))</f>
        <v>140.56299377738554</v>
      </c>
      <c r="R53" s="302"/>
      <c r="S53" s="144">
        <f>(B53/O53)</f>
        <v>1.4228496037637536E-2</v>
      </c>
      <c r="T53" s="144">
        <f>(SUM(C53:M53)/O53)</f>
        <v>0.98577150396236257</v>
      </c>
      <c r="U53" s="145">
        <f>(O53+C53+E53+F53+G53+M53)</f>
        <v>1.3038944746140329</v>
      </c>
      <c r="V53" s="302"/>
      <c r="W53" s="146">
        <f>(U53*((VLOOKUP(B50,Lähtötiedot!C:Q,15,0)/(VLOOKUP(B50,Lähtötiedot!C:L,10,0)))))</f>
        <v>263.55415655684749</v>
      </c>
      <c r="X53" s="302"/>
      <c r="Y53" s="147">
        <f>(B53/U53)</f>
        <v>7.5885731651081307E-3</v>
      </c>
      <c r="Z53" s="147">
        <f>(SUM(U53-B53)/U53)</f>
        <v>0.99241142683489181</v>
      </c>
    </row>
    <row r="54" spans="1:26" ht="14" hidden="1" outlineLevel="1">
      <c r="A54" s="16" t="s">
        <v>255</v>
      </c>
      <c r="B54" s="128">
        <f>((VLOOKUP(B50,'Lähtötiedot - kustannukset'!C:F,4,0))/(VLOOKUP(B50,Lähtötiedot!C:Q,15,0)))</f>
        <v>9.8946986201888139E-3</v>
      </c>
      <c r="C54" s="127"/>
      <c r="D54" s="127"/>
      <c r="E54" s="127"/>
      <c r="F54" s="127"/>
      <c r="G54" s="129"/>
      <c r="H54" s="127"/>
      <c r="I54" s="129"/>
      <c r="J54" s="129"/>
      <c r="K54" s="129"/>
      <c r="L54" s="128">
        <f>((VLOOKUP(B50,Lähtötiedot!C:F,4,0)*'Lähtötiedot - kustannukset'!$F$22))</f>
        <v>3.8999999999999998E-3</v>
      </c>
      <c r="M54" s="127"/>
      <c r="N54" s="148">
        <f>(VLOOKUP(B50,Lähtötiedot!$C$3:$F$13,4,0)*('Lähtötiedot - kustannukset'!$F$73))</f>
        <v>0</v>
      </c>
      <c r="O54" s="131">
        <f>SUM(B54:M54)</f>
        <v>1.3794698620188815E-2</v>
      </c>
      <c r="P54" s="302"/>
      <c r="Q54" s="149">
        <f>(O54*((VLOOKUP(B50,Lähtötiedot!C:Q,15,0)/(VLOOKUP(B50,Lähtötiedot!C:L,10,0)))))</f>
        <v>2.7883009174311928</v>
      </c>
      <c r="R54" s="302"/>
      <c r="S54" s="134">
        <f>(B54/O54)</f>
        <v>0.71728269624591334</v>
      </c>
      <c r="T54" s="134">
        <f>(SUM(C54:M54)/O54)</f>
        <v>0.28271730375408655</v>
      </c>
      <c r="U54" s="150">
        <f>SUM(B54:M54)</f>
        <v>1.3794698620188815E-2</v>
      </c>
      <c r="V54" s="302"/>
      <c r="W54" s="136">
        <f>(U54*((VLOOKUP(B50,Lähtötiedot!C:Q,15,0)/(VLOOKUP(B50,Lähtötiedot!C:L,10,0)))))</f>
        <v>2.7883009174311928</v>
      </c>
      <c r="X54" s="302"/>
      <c r="Y54" s="137">
        <f>(B54/U54)</f>
        <v>0.71728269624591334</v>
      </c>
      <c r="Z54" s="137">
        <f>(SUM(U54-B54)/U54)</f>
        <v>0.2827173037540866</v>
      </c>
    </row>
    <row r="55" spans="1:26" ht="14" hidden="1" outlineLevel="1">
      <c r="A55" s="16"/>
      <c r="B55" s="174"/>
      <c r="C55" s="170"/>
      <c r="D55" s="98"/>
      <c r="E55" s="98"/>
      <c r="F55" s="99"/>
      <c r="G55" s="99"/>
      <c r="H55" s="151"/>
      <c r="I55" s="151"/>
      <c r="J55" s="151"/>
      <c r="K55" s="171"/>
      <c r="L55" s="171"/>
      <c r="M55" s="171"/>
      <c r="N55" s="171"/>
      <c r="O55" s="33"/>
      <c r="P55" s="153"/>
      <c r="Q55" s="103"/>
      <c r="S55" s="33"/>
      <c r="T55" s="33"/>
      <c r="U55" s="33"/>
      <c r="V55" s="33"/>
    </row>
    <row r="56" spans="1:26" ht="26" hidden="1" outlineLevel="1">
      <c r="A56" s="364" t="str">
        <f>(Lähtötiedot!$B$5&amp;" - Nykytilanne: "&amp;B56&amp;" ostettuna, Pesu "&amp;(VLOOKUP(B56,Lähtötiedot!C:S,17,0)&amp;" toimipisteellä, "&amp;(VLOOKUP(B56,Lähtötiedot!C:S,16,0)&amp;" kotona")))</f>
        <v>Toimija 2 - Nykytilanne: toimija 2 vaate 2 ostettuna, Pesu 0,4 toimipisteellä, 0,4 kotona</v>
      </c>
      <c r="B56" s="113" t="s">
        <v>261</v>
      </c>
      <c r="C56" s="114" t="str">
        <f>($M$13)</f>
        <v>Pesukerrat vuoden aikana</v>
      </c>
      <c r="D56" s="41">
        <f>(VLOOKUP(B56,Lähtötiedot!$C$3:$Q$36,15,0)/VLOOKUP(B56,Lähtötiedot!$C$3:$Q$36,10,0))</f>
        <v>202.12844036697251</v>
      </c>
      <c r="E56" s="114"/>
      <c r="F56" s="114"/>
      <c r="G56" s="114"/>
      <c r="H56" s="114"/>
      <c r="I56" s="114"/>
      <c r="J56" s="114"/>
      <c r="K56" s="114"/>
      <c r="L56" s="115"/>
      <c r="M56" s="115"/>
      <c r="N56" s="115"/>
      <c r="O56" s="349" t="str">
        <f>($E$14)</f>
        <v>€ / pesuväli</v>
      </c>
      <c r="P56" s="302"/>
      <c r="Q56" s="350" t="str">
        <f>($G$13)</f>
        <v>€ / vuosi</v>
      </c>
      <c r="R56" s="302"/>
      <c r="S56" s="349" t="str">
        <f>($K$13)</f>
        <v>Kustannuksen muodostuminen</v>
      </c>
      <c r="T56" s="302"/>
      <c r="U56" s="345" t="str">
        <f>($E$14)</f>
        <v>€ / pesuväli</v>
      </c>
      <c r="V56" s="302"/>
      <c r="W56" s="346" t="str">
        <f>($G$13)</f>
        <v>€ / vuosi</v>
      </c>
      <c r="X56" s="302"/>
      <c r="Y56" s="347" t="str">
        <f>($K$13)</f>
        <v>Kustannuksen muodostuminen</v>
      </c>
      <c r="Z56" s="302"/>
    </row>
    <row r="57" spans="1:26" ht="33.75" hidden="1" customHeight="1" outlineLevel="1">
      <c r="A57" s="302"/>
      <c r="B57" s="119" t="s">
        <v>244</v>
      </c>
      <c r="C57" s="119" t="s">
        <v>245</v>
      </c>
      <c r="D57" s="119" t="s">
        <v>246</v>
      </c>
      <c r="E57" s="119" t="s">
        <v>247</v>
      </c>
      <c r="F57" s="119" t="s">
        <v>108</v>
      </c>
      <c r="G57" s="119" t="s">
        <v>103</v>
      </c>
      <c r="H57" s="119" t="s">
        <v>248</v>
      </c>
      <c r="I57" s="119" t="s">
        <v>249</v>
      </c>
      <c r="J57" s="119" t="s">
        <v>250</v>
      </c>
      <c r="K57" s="99" t="s">
        <v>251</v>
      </c>
      <c r="L57" s="119" t="s">
        <v>113</v>
      </c>
      <c r="M57" s="119" t="s">
        <v>252</v>
      </c>
      <c r="N57" s="120" t="str">
        <f>($N$13)</f>
        <v>Jätehuolto</v>
      </c>
      <c r="O57" s="121" t="s">
        <v>200</v>
      </c>
      <c r="P57" s="116" t="str">
        <f>($C$14)</f>
        <v>PAINOTETTU KESKIARVO</v>
      </c>
      <c r="Q57" s="112" t="s">
        <v>200</v>
      </c>
      <c r="R57" s="122" t="str">
        <f>($C$14)</f>
        <v>PAINOTETTU KESKIARVO</v>
      </c>
      <c r="S57" s="117" t="str">
        <f>($J$14)</f>
        <v>HANKINTA</v>
      </c>
      <c r="T57" s="117" t="str">
        <f>($K$14)</f>
        <v>HUOLTO</v>
      </c>
      <c r="U57" s="118" t="s">
        <v>200</v>
      </c>
      <c r="V57" s="123" t="str">
        <f>($C$14)</f>
        <v>PAINOTETTU KESKIARVO</v>
      </c>
      <c r="W57" s="124" t="s">
        <v>200</v>
      </c>
      <c r="X57" s="125" t="str">
        <f>($C$14)</f>
        <v>PAINOTETTU KESKIARVO</v>
      </c>
      <c r="Y57" s="126" t="str">
        <f>($J$14)</f>
        <v>HANKINTA</v>
      </c>
      <c r="Z57" s="126" t="str">
        <f>($K$14)</f>
        <v>HUOLTO</v>
      </c>
    </row>
    <row r="58" spans="1:26" ht="12.5" hidden="1" outlineLevel="1">
      <c r="A58" s="16" t="s">
        <v>253</v>
      </c>
      <c r="B58" s="127">
        <f>((VLOOKUP(B56,'Lähtötiedot - kustannukset'!C:F,4,0))/(VLOOKUP(B56,Lähtötiedot!C:Q,15,0)))</f>
        <v>1.6491164366981359E-3</v>
      </c>
      <c r="C58" s="127">
        <f>((VLOOKUP(B56,Lähtötiedot!C:F,4,0)*'Lähtötiedot - kustannukset'!$F$24))</f>
        <v>3.2404735799334443E-2</v>
      </c>
      <c r="D58" s="127">
        <f>((VLOOKUP(B56,Lähtötiedot!C:G,4,0))*'Kotikonemallien lähtötiedot'!$H$6*'Lähtötiedot - kustannukset'!$F$16)</f>
        <v>6.9071891774891781E-3</v>
      </c>
      <c r="E58" s="127">
        <f>('Kotikonemallien lähtötiedot'!$I$6*(VLOOKUP(B56,Lähtötiedot!C:F,4,0)*'Lähtötiedot - kustannukset'!$F$19))</f>
        <v>8.8267683333333336E-3</v>
      </c>
      <c r="F58" s="127">
        <f>('Kotikonemallien lähtötiedot'!$I$6*(VLOOKUP(B56,Lähtötiedot!C:F,4,0)*'Lähtötiedot - kustannukset'!$F$20))</f>
        <v>1.0458607857142857E-2</v>
      </c>
      <c r="G58" s="128">
        <f>('Kotikonemallien lähtötiedot'!$I$6*(VLOOKUP(B56,Lähtötiedot!C:F,4,0)*'Lähtötiedot - kustannukset'!$F$18))</f>
        <v>7.4174523809523811E-4</v>
      </c>
      <c r="H58" s="129"/>
      <c r="I58" s="129"/>
      <c r="J58" s="128">
        <f>((VLOOKUP(B56,Lähtötiedot!C:F,4,0)*'Lähtötiedot - kustannukset'!$F$26))</f>
        <v>0.10634068773603655</v>
      </c>
      <c r="K58" s="128">
        <f>((VLOOKUP(B56,Lähtötiedot!C:F,4,0)*'Kotikonemallien lähtötiedot'!$R$6*'Lähtötiedot - kustannukset'!$F$16))</f>
        <v>4.4931999999999993E-2</v>
      </c>
      <c r="L58" s="127">
        <f>((VLOOKUP(B56,Lähtötiedot!C:F,4,0)*'Lähtötiedot - kustannukset'!$F$22))</f>
        <v>3.8999999999999998E-3</v>
      </c>
      <c r="M58" s="127">
        <f>(((VLOOKUP(B56,Lähtötiedot!C:F,4,0)/'Kotikonemallien lähtötiedot'!$B$6))*('Lähtötiedot - kustannukset'!$F$27*'Lähtötiedot - kustannukset'!$F$28))</f>
        <v>0.55604838709677418</v>
      </c>
      <c r="N58" s="130">
        <f>(VLOOKUP(B56,Lähtötiedot!$C$3:$F$13,4,0)*('Lähtötiedot - kustannukset'!$F$73))</f>
        <v>0</v>
      </c>
      <c r="O58" s="131">
        <f>SUM(B58:N58)</f>
        <v>0.7722092376749039</v>
      </c>
      <c r="P58" s="348">
        <f ca="1">IFERROR(__xludf.DUMMYFUNCTION("average.weighted(O58,(vlookup(B56,'Lähtötiedot'!C:S,17,0)),O59,0,O60,(vlookup(B56,'Lähtötiedot'!C:S,16,0)))"),0.388879177055801)</f>
        <v>0.388879177055801</v>
      </c>
      <c r="Q58" s="133">
        <f>(O58*((VLOOKUP(B56,Lähtötiedot!C:Q,15,0)/(VLOOKUP(B56,Lähtötiedot!C:L,10,0)))))</f>
        <v>156.0854488481971</v>
      </c>
      <c r="R58" s="348">
        <f ca="1">IFERROR(__xludf.DUMMYFUNCTION("average.weighted(Q58,(vlookup(B56,'Lähtötiedot'!C:S,17,0)),Q59,0,Q60,(vlookup(B56,'Lähtötiedot'!C:S,16,0)))"),78.6035415494808)</f>
        <v>78.603541549480795</v>
      </c>
      <c r="S58" s="134">
        <f>(B58/O58)</f>
        <v>2.1355823735851312E-3</v>
      </c>
      <c r="T58" s="134">
        <f>(SUM(C58:M58)/O58)</f>
        <v>0.99786441762641498</v>
      </c>
      <c r="U58" s="135">
        <f>(O58+C58+E58+F58+G58+M58)</f>
        <v>1.3806894819995839</v>
      </c>
      <c r="V58" s="348">
        <f ca="1">IFERROR(__xludf.DUMMYFUNCTION("average.weighted(U58,(vlookup(B56,'Lähtötiedot'!C:S,17,0)),U59,0,U60,(vlookup(B56,'Lähtötiedot'!C:S,16,0)))"),0.693119299218141)</f>
        <v>0.69311929921814097</v>
      </c>
      <c r="W58" s="136">
        <f>(U58*((VLOOKUP(B56,Lähtötiedot!C:Q,15,0)/(VLOOKUP(B56,Lähtötiedot!C:L,10,0)))))</f>
        <v>279.07661162765908</v>
      </c>
      <c r="X58" s="348">
        <f ca="1">IFERROR(__xludf.DUMMYFUNCTION("average.weighted(W58,(vlookup(B56,'Lähtötiedot'!C:S,17,0)),W59,0,W60,(vlookup(B56,'Lähtötiedot'!C:S,16,0)))"),140.099122939211)</f>
        <v>140.09912293921099</v>
      </c>
      <c r="Y58" s="137">
        <f>(B58/U58)</f>
        <v>1.1944151514139173E-3</v>
      </c>
      <c r="Z58" s="137">
        <f>(SUM(U58-B58)/U58)</f>
        <v>0.99880558484858617</v>
      </c>
    </row>
    <row r="59" spans="1:26" ht="14" hidden="1" outlineLevel="1">
      <c r="A59" s="138" t="s">
        <v>254</v>
      </c>
      <c r="B59" s="139">
        <f>((VLOOKUP(B56,'Lähtötiedot - kustannukset'!C:F,4,0))/(VLOOKUP(B56,Lähtötiedot!C:Q,15,0)))</f>
        <v>1.6491164366981359E-3</v>
      </c>
      <c r="C59" s="139">
        <f>((VLOOKUP(B56,Lähtötiedot!C:F,4,0)*'Lähtötiedot - kustannukset'!$F$24))</f>
        <v>3.2404735799334443E-2</v>
      </c>
      <c r="D59" s="139">
        <f>((VLOOKUP(B56,Lähtötiedot!C:G,4,0))*'Kotikonemallien lähtötiedot'!$H$6*'Lähtötiedot - kustannukset'!$F$16)</f>
        <v>6.9071891774891781E-3</v>
      </c>
      <c r="E59" s="139">
        <f>('Kotikonemallien lähtötiedot'!$I$6*(VLOOKUP(B56,Lähtötiedot!C:F,4,0)*'Lähtötiedot - kustannukset'!$F$19))</f>
        <v>8.8267683333333336E-3</v>
      </c>
      <c r="F59" s="139">
        <f>('Kotikonemallien lähtötiedot'!$I$6*(VLOOKUP(B56,Lähtötiedot!C:F,4,0)*'Lähtötiedot - kustannukset'!$F$20))</f>
        <v>1.0458607857142857E-2</v>
      </c>
      <c r="G59" s="139">
        <f>('Kotikonemallien lähtötiedot'!$I$6*(VLOOKUP(B56,Lähtötiedot!C:F,4,0)*'Lähtötiedot - kustannukset'!$F$18))</f>
        <v>7.4174523809523811E-4</v>
      </c>
      <c r="H59" s="139">
        <f>((VLOOKUP(B56,Lähtötiedot!C:F,4,0)*'Lähtötiedot - kustannukset'!$F$25))</f>
        <v>4.0613741024137735E-2</v>
      </c>
      <c r="I59" s="140">
        <f>((VLOOKUP(B56,Lähtötiedot!C:F,4,0)*'Kotikonemallien lähtötiedot'!$M$6*'Lähtötiedot - kustannukset'!$F$16))</f>
        <v>2.5618357142857141E-2</v>
      </c>
      <c r="J59" s="140"/>
      <c r="K59" s="140"/>
      <c r="L59" s="139">
        <f>((VLOOKUP(B56,Lähtötiedot!C:F,4,0)*'Lähtötiedot - kustannukset'!$F$22))</f>
        <v>3.8999999999999998E-3</v>
      </c>
      <c r="M59" s="139">
        <f>((VLOOKUP(B56,Lähtötiedot!C:F,4,0)/'Kotikonemallien lähtötiedot'!$B$6*'Lähtötiedot - kustannukset'!$F$27*'Lähtötiedot - kustannukset'!$F$28))</f>
        <v>0.55604838709677418</v>
      </c>
      <c r="N59" s="141">
        <f>(VLOOKUP(B56,Lähtötiedot!$C$3:$F$13,4,0)*('Lähtötiedot - kustannukset'!$F$73))</f>
        <v>0</v>
      </c>
      <c r="O59" s="142">
        <f>SUM(B59:M59)</f>
        <v>0.6871686481058622</v>
      </c>
      <c r="P59" s="302"/>
      <c r="Q59" s="143">
        <f>(O59*((VLOOKUP(B56,Lähtötiedot!C:Q,15,0)/(VLOOKUP(B56,Lähtötiedot!C:L,10,0)))))</f>
        <v>138.89632711071889</v>
      </c>
      <c r="R59" s="302"/>
      <c r="S59" s="144">
        <f>(B59/O59)</f>
        <v>2.3998714744099914E-3</v>
      </c>
      <c r="T59" s="144">
        <f>(SUM(C59:M59)/O59)</f>
        <v>0.9976001285255901</v>
      </c>
      <c r="U59" s="145">
        <f>(O59+C59+E59+F59+G59+M59)</f>
        <v>1.2956488924305423</v>
      </c>
      <c r="V59" s="302"/>
      <c r="W59" s="146">
        <f>(U59*((VLOOKUP(B56,Lähtötiedot!C:Q,15,0)/(VLOOKUP(B56,Lähtötiedot!C:L,10,0)))))</f>
        <v>261.88748989018086</v>
      </c>
      <c r="X59" s="302"/>
      <c r="Y59" s="147">
        <f>(B59/U59)</f>
        <v>1.2728112116890823E-3</v>
      </c>
      <c r="Z59" s="147">
        <f>(SUM(U59-B59)/U59)</f>
        <v>0.99872718878831102</v>
      </c>
    </row>
    <row r="60" spans="1:26" ht="14" hidden="1" outlineLevel="1">
      <c r="A60" s="16" t="s">
        <v>255</v>
      </c>
      <c r="B60" s="128">
        <f>((VLOOKUP(B56,'Lähtötiedot - kustannukset'!C:F,4,0))/(VLOOKUP(B56,Lähtötiedot!C:Q,15,0)))</f>
        <v>1.6491164366981359E-3</v>
      </c>
      <c r="C60" s="127"/>
      <c r="D60" s="127"/>
      <c r="E60" s="127"/>
      <c r="F60" s="127"/>
      <c r="G60" s="129"/>
      <c r="H60" s="127"/>
      <c r="I60" s="129"/>
      <c r="J60" s="129"/>
      <c r="K60" s="129"/>
      <c r="L60" s="128">
        <f>((VLOOKUP(B56,Lähtötiedot!C:F,4,0)*'Lähtötiedot - kustannukset'!$F$22))</f>
        <v>3.8999999999999998E-3</v>
      </c>
      <c r="M60" s="127"/>
      <c r="N60" s="148">
        <f>(VLOOKUP(B56,Lähtötiedot!$C$3:$F$13,4,0)*('Lähtötiedot - kustannukset'!$F$73))</f>
        <v>0</v>
      </c>
      <c r="O60" s="131">
        <f>SUM(B60:M60)</f>
        <v>5.5491164366981358E-3</v>
      </c>
      <c r="P60" s="302"/>
      <c r="Q60" s="149">
        <f>(O60*((VLOOKUP(B56,Lähtötiedot!C:Q,15,0)/(VLOOKUP(B56,Lähtötiedot!C:L,10,0)))))</f>
        <v>1.1216342507645261</v>
      </c>
      <c r="R60" s="302"/>
      <c r="S60" s="134">
        <f>(B60/O60)</f>
        <v>0.29718540879625188</v>
      </c>
      <c r="T60" s="134">
        <f>(SUM(C60:M60)/O60)</f>
        <v>0.70281459120374812</v>
      </c>
      <c r="U60" s="150">
        <f>SUM(B60:M60)</f>
        <v>5.5491164366981358E-3</v>
      </c>
      <c r="V60" s="302"/>
      <c r="W60" s="136">
        <f>(U60*((VLOOKUP(B56,Lähtötiedot!C:Q,15,0)/(VLOOKUP(B56,Lähtötiedot!C:L,10,0)))))</f>
        <v>1.1216342507645261</v>
      </c>
      <c r="X60" s="302"/>
      <c r="Y60" s="137">
        <f>(B60/U60)</f>
        <v>0.29718540879625188</v>
      </c>
      <c r="Z60" s="137">
        <f>(SUM(U60-B60)/U60)</f>
        <v>0.70281459120374812</v>
      </c>
    </row>
    <row r="61" spans="1:26" ht="14" hidden="1" outlineLevel="1">
      <c r="A61" s="16"/>
      <c r="B61" s="174"/>
      <c r="C61" s="170"/>
      <c r="D61" s="98"/>
      <c r="E61" s="98"/>
      <c r="F61" s="99"/>
      <c r="G61" s="99"/>
      <c r="H61" s="151"/>
      <c r="I61" s="151"/>
      <c r="J61" s="151"/>
      <c r="K61" s="171"/>
      <c r="L61" s="171"/>
      <c r="M61" s="171"/>
      <c r="N61" s="171"/>
      <c r="O61" s="33"/>
      <c r="P61" s="153"/>
      <c r="Q61" s="103"/>
      <c r="S61" s="33"/>
      <c r="T61" s="33"/>
      <c r="U61" s="33"/>
      <c r="V61" s="33"/>
    </row>
    <row r="62" spans="1:26" ht="26" hidden="1" outlineLevel="1">
      <c r="A62" s="364" t="str">
        <f>(Lähtötiedot!$B$5&amp;" - Nykytilanne: "&amp;B62&amp;" ostettuna, Pesu "&amp;(VLOOKUP(B62,Lähtötiedot!C:S,17,0)&amp;" toimipisteellä, "&amp;(VLOOKUP(B62,Lähtötiedot!C:S,16,0)&amp;" kotona")))</f>
        <v>Toimija 2 - Nykytilanne: toimija 2 vaate 3 ostettuna, Pesu 0,4 toimipisteellä, 0,4 kotona</v>
      </c>
      <c r="B62" s="113" t="s">
        <v>262</v>
      </c>
      <c r="C62" s="114" t="str">
        <f>($M$13)</f>
        <v>Pesukerrat vuoden aikana</v>
      </c>
      <c r="D62" s="41">
        <f>(VLOOKUP(B62,Lähtötiedot!$C$3:$Q$36,15,0)/VLOOKUP(B62,Lähtötiedot!$C$3:$Q$36,10,0))</f>
        <v>101.06422018348626</v>
      </c>
      <c r="E62" s="114"/>
      <c r="F62" s="114"/>
      <c r="G62" s="114"/>
      <c r="H62" s="114"/>
      <c r="I62" s="114"/>
      <c r="J62" s="114"/>
      <c r="K62" s="114"/>
      <c r="L62" s="115"/>
      <c r="M62" s="115"/>
      <c r="N62" s="115"/>
      <c r="O62" s="349" t="str">
        <f>($E$14)</f>
        <v>€ / pesuväli</v>
      </c>
      <c r="P62" s="302"/>
      <c r="Q62" s="350" t="str">
        <f>($G$13)</f>
        <v>€ / vuosi</v>
      </c>
      <c r="R62" s="302"/>
      <c r="S62" s="349" t="str">
        <f>($K$13)</f>
        <v>Kustannuksen muodostuminen</v>
      </c>
      <c r="T62" s="302"/>
      <c r="U62" s="345" t="str">
        <f>($E$14)</f>
        <v>€ / pesuväli</v>
      </c>
      <c r="V62" s="302"/>
      <c r="W62" s="346" t="str">
        <f>($G$13)</f>
        <v>€ / vuosi</v>
      </c>
      <c r="X62" s="302"/>
      <c r="Y62" s="347" t="str">
        <f>($K$13)</f>
        <v>Kustannuksen muodostuminen</v>
      </c>
      <c r="Z62" s="302"/>
    </row>
    <row r="63" spans="1:26" ht="33.75" hidden="1" customHeight="1" outlineLevel="1">
      <c r="A63" s="302"/>
      <c r="B63" s="119" t="s">
        <v>244</v>
      </c>
      <c r="C63" s="119" t="s">
        <v>245</v>
      </c>
      <c r="D63" s="119" t="s">
        <v>246</v>
      </c>
      <c r="E63" s="119" t="s">
        <v>247</v>
      </c>
      <c r="F63" s="119" t="s">
        <v>108</v>
      </c>
      <c r="G63" s="119" t="s">
        <v>103</v>
      </c>
      <c r="H63" s="119" t="s">
        <v>248</v>
      </c>
      <c r="I63" s="119" t="s">
        <v>249</v>
      </c>
      <c r="J63" s="119" t="s">
        <v>250</v>
      </c>
      <c r="K63" s="99" t="s">
        <v>251</v>
      </c>
      <c r="L63" s="119" t="s">
        <v>113</v>
      </c>
      <c r="M63" s="119" t="s">
        <v>252</v>
      </c>
      <c r="N63" s="120" t="str">
        <f>($N$13)</f>
        <v>Jätehuolto</v>
      </c>
      <c r="O63" s="121" t="s">
        <v>200</v>
      </c>
      <c r="P63" s="116" t="str">
        <f>($C$14)</f>
        <v>PAINOTETTU KESKIARVO</v>
      </c>
      <c r="Q63" s="112" t="s">
        <v>200</v>
      </c>
      <c r="R63" s="122" t="str">
        <f>($C$14)</f>
        <v>PAINOTETTU KESKIARVO</v>
      </c>
      <c r="S63" s="117" t="str">
        <f>($J$14)</f>
        <v>HANKINTA</v>
      </c>
      <c r="T63" s="117" t="str">
        <f>($K$14)</f>
        <v>HUOLTO</v>
      </c>
      <c r="U63" s="118" t="s">
        <v>200</v>
      </c>
      <c r="V63" s="123" t="str">
        <f>($C$14)</f>
        <v>PAINOTETTU KESKIARVO</v>
      </c>
      <c r="W63" s="124" t="s">
        <v>200</v>
      </c>
      <c r="X63" s="125" t="str">
        <f>($C$14)</f>
        <v>PAINOTETTU KESKIARVO</v>
      </c>
      <c r="Y63" s="126" t="str">
        <f>($J$14)</f>
        <v>HANKINTA</v>
      </c>
      <c r="Z63" s="126" t="str">
        <f>($K$14)</f>
        <v>HUOLTO</v>
      </c>
    </row>
    <row r="64" spans="1:26" ht="12.5" hidden="1" outlineLevel="1">
      <c r="A64" s="16" t="s">
        <v>253</v>
      </c>
      <c r="B64" s="127">
        <f>((VLOOKUP(B62,'Lähtötiedot - kustannukset'!C:F,4,0))/(VLOOKUP(B62,Lähtötiedot!C:Q,15,0)))</f>
        <v>3.2982328733962719E-3</v>
      </c>
      <c r="C64" s="127">
        <f>((VLOOKUP(B62,Lähtötiedot!C:F,4,0)*'Lähtötiedot - kustannukset'!$F$24))</f>
        <v>3.2404735799334443E-2</v>
      </c>
      <c r="D64" s="127">
        <f>((VLOOKUP(B62,Lähtötiedot!C:G,4,0))*'Kotikonemallien lähtötiedot'!$H$6*'Lähtötiedot - kustannukset'!$F$16)</f>
        <v>6.9071891774891781E-3</v>
      </c>
      <c r="E64" s="127">
        <f>('Kotikonemallien lähtötiedot'!$I$6*(VLOOKUP(B62,Lähtötiedot!C:F,4,0)*'Lähtötiedot - kustannukset'!$F$19))</f>
        <v>8.8267683333333336E-3</v>
      </c>
      <c r="F64" s="127">
        <f>('Kotikonemallien lähtötiedot'!$I$6*(VLOOKUP(B62,Lähtötiedot!C:F,4,0)*'Lähtötiedot - kustannukset'!$F$20))</f>
        <v>1.0458607857142857E-2</v>
      </c>
      <c r="G64" s="128">
        <f>('Kotikonemallien lähtötiedot'!$I$6*(VLOOKUP(B62,Lähtötiedot!C:F,4,0)*'Lähtötiedot - kustannukset'!$F$18))</f>
        <v>7.4174523809523811E-4</v>
      </c>
      <c r="H64" s="129"/>
      <c r="I64" s="129"/>
      <c r="J64" s="128">
        <f>((VLOOKUP(B62,Lähtötiedot!C:F,4,0)*'Lähtötiedot - kustannukset'!$F$26))</f>
        <v>0.10634068773603655</v>
      </c>
      <c r="K64" s="128">
        <f>((VLOOKUP(B62,Lähtötiedot!C:F,4,0)*'Kotikonemallien lähtötiedot'!$R$6*'Lähtötiedot - kustannukset'!$F$16))</f>
        <v>4.4931999999999993E-2</v>
      </c>
      <c r="L64" s="127">
        <f>((VLOOKUP(B62,Lähtötiedot!C:F,4,0)*'Lähtötiedot - kustannukset'!$F$22))</f>
        <v>3.8999999999999998E-3</v>
      </c>
      <c r="M64" s="127">
        <f>(((VLOOKUP(B62,Lähtötiedot!C:F,4,0)/'Kotikonemallien lähtötiedot'!$B$6))*('Lähtötiedot - kustannukset'!$F$27*'Lähtötiedot - kustannukset'!$F$28))</f>
        <v>0.55604838709677418</v>
      </c>
      <c r="N64" s="130">
        <f>(VLOOKUP(B62,Lähtötiedot!$C$3:$F$13,4,0)*('Lähtötiedot - kustannukset'!$F$73))</f>
        <v>0</v>
      </c>
      <c r="O64" s="131">
        <f>SUM(B64:N64)</f>
        <v>0.77385835411160198</v>
      </c>
      <c r="P64" s="348">
        <f ca="1">IFERROR(__xludf.DUMMYFUNCTION("average.weighted(O64,(vlookup(B62,'Lähtötiedot'!C:S,17,0)),O65,0,O66,(vlookup(B62,'Lähtötiedot'!C:S,16,0)))"),0.390528293492499)</f>
        <v>0.39052829349249901</v>
      </c>
      <c r="Q64" s="133">
        <f>(O64*((VLOOKUP(B62,Lähtötiedot!C:Q,15,0)/(VLOOKUP(B62,Lähtötiedot!C:L,10,0)))))</f>
        <v>78.209391090765223</v>
      </c>
      <c r="R64" s="348">
        <f ca="1">IFERROR(__xludf.DUMMYFUNCTION("average.weighted(Q64,(vlookup(B62,'Lähtötiedot'!C:S,17,0)),Q65,0,Q66,(vlookup(B62,'Lähtötiedot'!C:S,16,0)))"),39.468437441407)</f>
        <v>39.468437441406998</v>
      </c>
      <c r="S64" s="134">
        <f>(B64/O64)</f>
        <v>4.262062761062624E-3</v>
      </c>
      <c r="T64" s="134">
        <f>(SUM(C64:M64)/O64)</f>
        <v>0.99573793723893755</v>
      </c>
      <c r="U64" s="135">
        <f>(O64+C64+E64+F64+G64+M64)</f>
        <v>1.3823385984362819</v>
      </c>
      <c r="V64" s="348">
        <f ca="1">IFERROR(__xludf.DUMMYFUNCTION("average.weighted(U64,(vlookup(B62,'Lähtötiedot'!C:S,17,0)),U65,0,U66,(vlookup(B62,'Lähtötiedot'!C:S,16,0)))"),0.694768415654839)</f>
        <v>0.69476841565483904</v>
      </c>
      <c r="W64" s="136">
        <f>(U64*((VLOOKUP(B62,Lähtötiedot!C:Q,15,0)/(VLOOKUP(B62,Lähtötiedot!C:L,10,0)))))</f>
        <v>139.7049724804962</v>
      </c>
      <c r="X64" s="348">
        <f ca="1">IFERROR(__xludf.DUMMYFUNCTION("average.weighted(W64,(vlookup(B62,'Lähtötiedot'!C:S,17,0)),W65,0,W66,(vlookup(B62,'Lähtötiedot'!C:S,16,0)))"),70.2162281362725)</f>
        <v>70.216228136272505</v>
      </c>
      <c r="Y64" s="137">
        <f>(B64/U64)</f>
        <v>2.3859804516254356E-3</v>
      </c>
      <c r="Z64" s="137">
        <f>(SUM(U64-B64)/U64)</f>
        <v>0.99761401954837448</v>
      </c>
    </row>
    <row r="65" spans="1:26" ht="14" hidden="1" outlineLevel="1">
      <c r="A65" s="138" t="s">
        <v>254</v>
      </c>
      <c r="B65" s="139">
        <f>((VLOOKUP(B62,'Lähtötiedot - kustannukset'!C:F,4,0))/(VLOOKUP(B62,Lähtötiedot!C:Q,15,0)))</f>
        <v>3.2982328733962719E-3</v>
      </c>
      <c r="C65" s="139">
        <f>((VLOOKUP(B62,Lähtötiedot!C:F,4,0)*'Lähtötiedot - kustannukset'!$F$24))</f>
        <v>3.2404735799334443E-2</v>
      </c>
      <c r="D65" s="139">
        <f>((VLOOKUP(B62,Lähtötiedot!C:G,4,0))*'Kotikonemallien lähtötiedot'!$H$6*'Lähtötiedot - kustannukset'!$F$16)</f>
        <v>6.9071891774891781E-3</v>
      </c>
      <c r="E65" s="139">
        <f>('Kotikonemallien lähtötiedot'!$I$6*(VLOOKUP(B62,Lähtötiedot!C:F,4,0)*'Lähtötiedot - kustannukset'!$F$19))</f>
        <v>8.8267683333333336E-3</v>
      </c>
      <c r="F65" s="139">
        <f>('Kotikonemallien lähtötiedot'!$I$6*(VLOOKUP(B62,Lähtötiedot!C:F,4,0)*'Lähtötiedot - kustannukset'!$F$20))</f>
        <v>1.0458607857142857E-2</v>
      </c>
      <c r="G65" s="139">
        <f>('Kotikonemallien lähtötiedot'!$I$6*(VLOOKUP(B62,Lähtötiedot!C:F,4,0)*'Lähtötiedot - kustannukset'!$F$18))</f>
        <v>7.4174523809523811E-4</v>
      </c>
      <c r="H65" s="139">
        <f>((VLOOKUP(B62,Lähtötiedot!C:F,4,0)*'Lähtötiedot - kustannukset'!$F$25))</f>
        <v>4.0613741024137735E-2</v>
      </c>
      <c r="I65" s="140">
        <f>((VLOOKUP(B62,Lähtötiedot!C:F,4,0)*'Kotikonemallien lähtötiedot'!$M$6*'Lähtötiedot - kustannukset'!$F$16))</f>
        <v>2.5618357142857141E-2</v>
      </c>
      <c r="J65" s="140"/>
      <c r="K65" s="140"/>
      <c r="L65" s="139">
        <f>((VLOOKUP(B62,Lähtötiedot!C:F,4,0)*'Lähtötiedot - kustannukset'!$F$22))</f>
        <v>3.8999999999999998E-3</v>
      </c>
      <c r="M65" s="139">
        <f>((VLOOKUP(B62,Lähtötiedot!C:F,4,0)/'Kotikonemallien lähtötiedot'!$B$6*'Lähtötiedot - kustannukset'!$F$27*'Lähtötiedot - kustannukset'!$F$28))</f>
        <v>0.55604838709677418</v>
      </c>
      <c r="N65" s="141">
        <f>(VLOOKUP(B62,Lähtötiedot!$C$3:$F$13,4,0)*('Lähtötiedot - kustannukset'!$F$73))</f>
        <v>0</v>
      </c>
      <c r="O65" s="142">
        <f>SUM(B65:M65)</f>
        <v>0.68881776454256038</v>
      </c>
      <c r="P65" s="302"/>
      <c r="Q65" s="143">
        <f>(O65*((VLOOKUP(B62,Lähtötiedot!C:Q,15,0)/(VLOOKUP(B62,Lähtötiedot!C:L,10,0)))))</f>
        <v>69.614830222026114</v>
      </c>
      <c r="R65" s="302"/>
      <c r="S65" s="144">
        <f>(B65/O65)</f>
        <v>4.7882517600088435E-3</v>
      </c>
      <c r="T65" s="144">
        <f>(SUM(C65:M65)/O65)</f>
        <v>0.99521174823999115</v>
      </c>
      <c r="U65" s="145">
        <f>(O65+C65+E65+F65+G65+M65)</f>
        <v>1.2972980088672403</v>
      </c>
      <c r="V65" s="302"/>
      <c r="W65" s="146">
        <f>(U65*((VLOOKUP(B62,Lähtötiedot!C:Q,15,0)/(VLOOKUP(B62,Lähtötiedot!C:L,10,0)))))</f>
        <v>131.11041161175709</v>
      </c>
      <c r="X65" s="302"/>
      <c r="Y65" s="147">
        <f>(B65/U65)</f>
        <v>2.5423864454060057E-3</v>
      </c>
      <c r="Z65" s="147">
        <f>(SUM(U65-B65)/U65)</f>
        <v>0.99745761355459395</v>
      </c>
    </row>
    <row r="66" spans="1:26" ht="14" hidden="1" outlineLevel="1">
      <c r="A66" s="16" t="s">
        <v>255</v>
      </c>
      <c r="B66" s="128">
        <f>((VLOOKUP(B62,'Lähtötiedot - kustannukset'!C:F,4,0))/(VLOOKUP(B62,Lähtötiedot!C:Q,15,0)))</f>
        <v>3.2982328733962719E-3</v>
      </c>
      <c r="C66" s="127"/>
      <c r="D66" s="127"/>
      <c r="E66" s="127"/>
      <c r="F66" s="127"/>
      <c r="G66" s="129"/>
      <c r="H66" s="127"/>
      <c r="I66" s="129"/>
      <c r="J66" s="129"/>
      <c r="K66" s="129"/>
      <c r="L66" s="128">
        <f>((VLOOKUP(B62,Lähtötiedot!C:F,4,0)*'Lähtötiedot - kustannukset'!$F$22))</f>
        <v>3.8999999999999998E-3</v>
      </c>
      <c r="M66" s="127"/>
      <c r="N66" s="148">
        <f>(VLOOKUP(B62,Lähtötiedot!$C$3:$F$13,4,0)*('Lähtötiedot - kustannukset'!$F$73))</f>
        <v>0</v>
      </c>
      <c r="O66" s="131">
        <f>SUM(B66:M66)</f>
        <v>7.1982328733962717E-3</v>
      </c>
      <c r="P66" s="302"/>
      <c r="Q66" s="149">
        <f>(O66*((VLOOKUP(B62,Lähtötiedot!C:Q,15,0)/(VLOOKUP(B62,Lähtötiedot!C:L,10,0)))))</f>
        <v>0.72748379204892977</v>
      </c>
      <c r="R66" s="302"/>
      <c r="S66" s="134">
        <f>(B66/O66)</f>
        <v>0.45820035714405821</v>
      </c>
      <c r="T66" s="134">
        <f>(SUM(C66:M66)/O66)</f>
        <v>0.54179964285594184</v>
      </c>
      <c r="U66" s="150">
        <f>SUM(B66:M66)</f>
        <v>7.1982328733962717E-3</v>
      </c>
      <c r="V66" s="302"/>
      <c r="W66" s="136">
        <f>(U66*((VLOOKUP(B62,Lähtötiedot!C:Q,15,0)/(VLOOKUP(B62,Lähtötiedot!C:L,10,0)))))</f>
        <v>0.72748379204892977</v>
      </c>
      <c r="X66" s="302"/>
      <c r="Y66" s="137">
        <f>(B66/U66)</f>
        <v>0.45820035714405821</v>
      </c>
      <c r="Z66" s="137">
        <f>(SUM(U66-B66)/U66)</f>
        <v>0.54179964285594184</v>
      </c>
    </row>
    <row r="67" spans="1:26" ht="14" hidden="1" outlineLevel="1">
      <c r="A67" s="16"/>
      <c r="B67" s="174"/>
      <c r="C67" s="170"/>
      <c r="D67" s="98"/>
      <c r="E67" s="98"/>
      <c r="F67" s="99"/>
      <c r="G67" s="99"/>
      <c r="H67" s="151"/>
      <c r="I67" s="151"/>
      <c r="J67" s="151"/>
      <c r="K67" s="171"/>
      <c r="L67" s="171"/>
      <c r="M67" s="171"/>
      <c r="N67" s="171"/>
      <c r="O67" s="33"/>
      <c r="P67" s="153"/>
      <c r="Q67" s="103"/>
      <c r="S67" s="33"/>
      <c r="T67" s="33"/>
      <c r="U67" s="33"/>
      <c r="V67" s="33"/>
    </row>
    <row r="68" spans="1:26" ht="26" hidden="1" outlineLevel="1">
      <c r="A68" s="364" t="str">
        <f>(Lähtötiedot!$B$5&amp;" - Nykytilanne: "&amp;B68&amp;" ostettuna, Pesu "&amp;(VLOOKUP(B68,Lähtötiedot!C:S,17,0)&amp;" toimipisteellä, "&amp;(VLOOKUP(B68,Lähtötiedot!C:S,16,0)&amp;" kotona")))</f>
        <v>Toimija 2 - Nykytilanne: toimija 2 vaate 4 ostettuna, Pesu 0,4 toimipisteellä, 0,4 kotona</v>
      </c>
      <c r="B68" s="113" t="s">
        <v>263</v>
      </c>
      <c r="C68" s="114" t="str">
        <f>($M$13)</f>
        <v>Pesukerrat vuoden aikana</v>
      </c>
      <c r="D68" s="41">
        <f>(VLOOKUP(B68,Lähtötiedot!$C$3:$Q$36,15,0)/VLOOKUP(B68,Lähtötiedot!$C$3:$Q$36,10,0))</f>
        <v>25.266055045871564</v>
      </c>
      <c r="E68" s="114"/>
      <c r="F68" s="114"/>
      <c r="G68" s="114"/>
      <c r="H68" s="114"/>
      <c r="I68" s="114"/>
      <c r="J68" s="114"/>
      <c r="K68" s="114"/>
      <c r="L68" s="115"/>
      <c r="M68" s="115"/>
      <c r="N68" s="115"/>
      <c r="O68" s="349" t="str">
        <f>($E$14)</f>
        <v>€ / pesuväli</v>
      </c>
      <c r="P68" s="302"/>
      <c r="Q68" s="350" t="str">
        <f>($G$13)</f>
        <v>€ / vuosi</v>
      </c>
      <c r="R68" s="302"/>
      <c r="S68" s="349" t="str">
        <f>($K$13)</f>
        <v>Kustannuksen muodostuminen</v>
      </c>
      <c r="T68" s="302"/>
      <c r="U68" s="345" t="str">
        <f>($E$14)</f>
        <v>€ / pesuväli</v>
      </c>
      <c r="V68" s="302"/>
      <c r="W68" s="346" t="str">
        <f>($G$13)</f>
        <v>€ / vuosi</v>
      </c>
      <c r="X68" s="302"/>
      <c r="Y68" s="347" t="str">
        <f>($K$13)</f>
        <v>Kustannuksen muodostuminen</v>
      </c>
      <c r="Z68" s="302"/>
    </row>
    <row r="69" spans="1:26" ht="36" hidden="1" customHeight="1" outlineLevel="1">
      <c r="A69" s="302"/>
      <c r="B69" s="119" t="s">
        <v>244</v>
      </c>
      <c r="C69" s="119" t="s">
        <v>245</v>
      </c>
      <c r="D69" s="119" t="s">
        <v>246</v>
      </c>
      <c r="E69" s="119" t="s">
        <v>247</v>
      </c>
      <c r="F69" s="119" t="s">
        <v>108</v>
      </c>
      <c r="G69" s="119" t="s">
        <v>103</v>
      </c>
      <c r="H69" s="119" t="s">
        <v>248</v>
      </c>
      <c r="I69" s="119" t="s">
        <v>249</v>
      </c>
      <c r="J69" s="119" t="s">
        <v>250</v>
      </c>
      <c r="K69" s="99" t="s">
        <v>251</v>
      </c>
      <c r="L69" s="119" t="s">
        <v>113</v>
      </c>
      <c r="M69" s="119" t="s">
        <v>252</v>
      </c>
      <c r="N69" s="120" t="str">
        <f>($N$13)</f>
        <v>Jätehuolto</v>
      </c>
      <c r="O69" s="121" t="s">
        <v>200</v>
      </c>
      <c r="P69" s="116" t="str">
        <f>($C$14)</f>
        <v>PAINOTETTU KESKIARVO</v>
      </c>
      <c r="Q69" s="112" t="s">
        <v>200</v>
      </c>
      <c r="R69" s="122" t="str">
        <f>($C$14)</f>
        <v>PAINOTETTU KESKIARVO</v>
      </c>
      <c r="S69" s="117" t="str">
        <f>($J$14)</f>
        <v>HANKINTA</v>
      </c>
      <c r="T69" s="117" t="str">
        <f>($K$14)</f>
        <v>HUOLTO</v>
      </c>
      <c r="U69" s="118" t="s">
        <v>200</v>
      </c>
      <c r="V69" s="123" t="str">
        <f>($C$14)</f>
        <v>PAINOTETTU KESKIARVO</v>
      </c>
      <c r="W69" s="124" t="s">
        <v>200</v>
      </c>
      <c r="X69" s="125" t="str">
        <f>($C$14)</f>
        <v>PAINOTETTU KESKIARVO</v>
      </c>
      <c r="Y69" s="126" t="str">
        <f>($J$14)</f>
        <v>HANKINTA</v>
      </c>
      <c r="Z69" s="126" t="str">
        <f>($K$14)</f>
        <v>HUOLTO</v>
      </c>
    </row>
    <row r="70" spans="1:26" ht="12.5" hidden="1" outlineLevel="1">
      <c r="A70" s="16" t="s">
        <v>253</v>
      </c>
      <c r="B70" s="127">
        <f>((VLOOKUP(B68,'Lähtötiedot - kustannukset'!C:F,4,0))/(VLOOKUP(B68,Lähtötiedot!C:Q,15,0)))</f>
        <v>1.3192931493585087E-2</v>
      </c>
      <c r="C70" s="127">
        <f>((VLOOKUP(B68,Lähtötiedot!C:F,4,0)*'Lähtötiedot - kustannukset'!$F$24))</f>
        <v>3.2404735799334443E-2</v>
      </c>
      <c r="D70" s="127">
        <f>((VLOOKUP(B68,Lähtötiedot!C:G,4,0))*'Kotikonemallien lähtötiedot'!$H$6*'Lähtötiedot - kustannukset'!$F$16)</f>
        <v>6.9071891774891781E-3</v>
      </c>
      <c r="E70" s="127">
        <f>('Kotikonemallien lähtötiedot'!$I$6*(VLOOKUP(B68,Lähtötiedot!C:F,4,0)*'Lähtötiedot - kustannukset'!$F$19))</f>
        <v>8.8267683333333336E-3</v>
      </c>
      <c r="F70" s="127">
        <f>('Kotikonemallien lähtötiedot'!$I$6*(VLOOKUP(B68,Lähtötiedot!C:F,4,0)*'Lähtötiedot - kustannukset'!$F$20))</f>
        <v>1.0458607857142857E-2</v>
      </c>
      <c r="G70" s="128">
        <f>('Kotikonemallien lähtötiedot'!$I$6*(VLOOKUP(B68,Lähtötiedot!C:F,4,0)*'Lähtötiedot - kustannukset'!$F$18))</f>
        <v>7.4174523809523811E-4</v>
      </c>
      <c r="H70" s="129"/>
      <c r="I70" s="129"/>
      <c r="J70" s="128">
        <f>((VLOOKUP(B68,Lähtötiedot!C:F,4,0)*'Lähtötiedot - kustannukset'!$F$26))</f>
        <v>0.10634068773603655</v>
      </c>
      <c r="K70" s="128">
        <f>((VLOOKUP(B68,Lähtötiedot!C:F,4,0)*'Kotikonemallien lähtötiedot'!$R$6*'Lähtötiedot - kustannukset'!$F$16))</f>
        <v>4.4931999999999993E-2</v>
      </c>
      <c r="L70" s="127">
        <f>((VLOOKUP(B68,Lähtötiedot!C:F,4,0)*'Lähtötiedot - kustannukset'!$F$22))</f>
        <v>3.8999999999999998E-3</v>
      </c>
      <c r="M70" s="127">
        <f>(((VLOOKUP(B68,Lähtötiedot!C:F,4,0)/'Kotikonemallien lähtötiedot'!$B$6))*('Lähtötiedot - kustannukset'!$F$27*'Lähtötiedot - kustannukset'!$F$28))</f>
        <v>0.55604838709677418</v>
      </c>
      <c r="N70" s="130">
        <f>(VLOOKUP(B68,Lähtötiedot!$C$3:$F$13,4,0)*('Lähtötiedot - kustannukset'!$F$73))</f>
        <v>0</v>
      </c>
      <c r="O70" s="131">
        <f>SUM(B70:N70)</f>
        <v>0.78375305273179086</v>
      </c>
      <c r="P70" s="348">
        <f ca="1">IFERROR(__xludf.DUMMYFUNCTION("average.weighted(O70,(vlookup(B68,'Lähtötiedot'!C:S,17,0)),O71,0,O72,(vlookup(B68,'Lähtötiedot'!C:S,16,0)))"),0.400422992112687)</f>
        <v>0.400422992112687</v>
      </c>
      <c r="Q70" s="133">
        <f>(O70*((VLOOKUP(B68,Lähtötiedot!C:Q,15,0)/(VLOOKUP(B68,Lähtötiedot!C:L,10,0)))))</f>
        <v>19.802347772691306</v>
      </c>
      <c r="R70" s="348">
        <f ca="1">IFERROR(__xludf.DUMMYFUNCTION("average.weighted(Q70,(vlookup(B68,'Lähtötiedot'!C:S,17,0)),Q71,0,Q72,(vlookup(B68,'Lähtötiedot'!C:S,16,0)))"),10.1171093603517)</f>
        <v>10.1171093603517</v>
      </c>
      <c r="S70" s="134">
        <f>(B70/O70)</f>
        <v>1.683302087003144E-2</v>
      </c>
      <c r="T70" s="134">
        <f>(SUM(C70:M70)/O70)</f>
        <v>0.98316697912996864</v>
      </c>
      <c r="U70" s="135">
        <f>(O70+C70+E70+F70+G70+M70)</f>
        <v>1.3922332970564708</v>
      </c>
      <c r="V70" s="348">
        <f ca="1">IFERROR(__xludf.DUMMYFUNCTION("average.weighted(U70,(vlookup(B68,'Lähtötiedot'!C:S,17,0)),U71,0,U72,(vlookup(B68,'Lähtötiedot'!C:S,16,0)))"),0.704663114275027)</f>
        <v>0.70466311427502704</v>
      </c>
      <c r="W70" s="136">
        <f>(U70*((VLOOKUP(B68,Lähtötiedot!C:Q,15,0)/(VLOOKUP(B68,Lähtötiedot!C:L,10,0)))))</f>
        <v>35.176243120124049</v>
      </c>
      <c r="X70" s="348">
        <f ca="1">IFERROR(__xludf.DUMMYFUNCTION("average.weighted(W70,(vlookup(B68,'Lähtötiedot'!C:S,17,0)),W71,0,W72,(vlookup(B68,'Lähtötiedot'!C:S,16,0)))"),17.8040570340681)</f>
        <v>17.804057034068101</v>
      </c>
      <c r="Y70" s="137">
        <f>(B70/U70)</f>
        <v>9.4760924921694096E-3</v>
      </c>
      <c r="Z70" s="137">
        <f>(SUM(U70-B70)/U70)</f>
        <v>0.99052390750783059</v>
      </c>
    </row>
    <row r="71" spans="1:26" ht="14" hidden="1" outlineLevel="1">
      <c r="A71" s="138" t="s">
        <v>254</v>
      </c>
      <c r="B71" s="139">
        <f>((VLOOKUP(B68,'Lähtötiedot - kustannukset'!C:F,4,0))/(VLOOKUP(B68,Lähtötiedot!C:Q,15,0)))</f>
        <v>1.3192931493585087E-2</v>
      </c>
      <c r="C71" s="139">
        <f>((VLOOKUP(B68,Lähtötiedot!C:F,4,0)*'Lähtötiedot - kustannukset'!$F$24))</f>
        <v>3.2404735799334443E-2</v>
      </c>
      <c r="D71" s="139">
        <f>((VLOOKUP(B68,Lähtötiedot!C:G,4,0))*'Kotikonemallien lähtötiedot'!$H$6*'Lähtötiedot - kustannukset'!$F$16)</f>
        <v>6.9071891774891781E-3</v>
      </c>
      <c r="E71" s="139">
        <f>('Kotikonemallien lähtötiedot'!$I$6*(VLOOKUP(B68,Lähtötiedot!C:F,4,0)*'Lähtötiedot - kustannukset'!$F$19))</f>
        <v>8.8267683333333336E-3</v>
      </c>
      <c r="F71" s="139">
        <f>('Kotikonemallien lähtötiedot'!$I$6*(VLOOKUP(B68,Lähtötiedot!C:F,4,0)*'Lähtötiedot - kustannukset'!$F$20))</f>
        <v>1.0458607857142857E-2</v>
      </c>
      <c r="G71" s="139">
        <f>('Kotikonemallien lähtötiedot'!$I$6*(VLOOKUP(B68,Lähtötiedot!C:F,4,0)*'Lähtötiedot - kustannukset'!$F$18))</f>
        <v>7.4174523809523811E-4</v>
      </c>
      <c r="H71" s="139">
        <f>((VLOOKUP(B68,Lähtötiedot!C:F,4,0)*'Lähtötiedot - kustannukset'!$F$25))</f>
        <v>4.0613741024137735E-2</v>
      </c>
      <c r="I71" s="140">
        <f>((VLOOKUP(B68,Lähtötiedot!C:F,4,0)*'Kotikonemallien lähtötiedot'!$M$6*'Lähtötiedot - kustannukset'!$F$16))</f>
        <v>2.5618357142857141E-2</v>
      </c>
      <c r="J71" s="140"/>
      <c r="K71" s="140"/>
      <c r="L71" s="139">
        <f>((VLOOKUP(B68,Lähtötiedot!C:F,4,0)*'Lähtötiedot - kustannukset'!$F$22))</f>
        <v>3.8999999999999998E-3</v>
      </c>
      <c r="M71" s="139">
        <f>((VLOOKUP(B68,Lähtötiedot!C:F,4,0)/'Kotikonemallien lähtötiedot'!$B$6*'Lähtötiedot - kustannukset'!$F$27*'Lähtötiedot - kustannukset'!$F$28))</f>
        <v>0.55604838709677418</v>
      </c>
      <c r="N71" s="141">
        <f>(VLOOKUP(B68,Lähtötiedot!$C$3:$F$13,4,0)*('Lähtötiedot - kustannukset'!$F$73))</f>
        <v>0</v>
      </c>
      <c r="O71" s="142">
        <f>SUM(B71:M71)</f>
        <v>0.69871246316274915</v>
      </c>
      <c r="P71" s="302"/>
      <c r="Q71" s="143">
        <f>(O71*((VLOOKUP(B68,Lähtötiedot!C:Q,15,0)/(VLOOKUP(B68,Lähtötiedot!C:L,10,0)))))</f>
        <v>17.653707555506529</v>
      </c>
      <c r="R71" s="302"/>
      <c r="S71" s="144">
        <f>(B71/O71)</f>
        <v>1.8881774963433125E-2</v>
      </c>
      <c r="T71" s="144">
        <f>(SUM(C71:M71)/O71)</f>
        <v>0.98111822503656698</v>
      </c>
      <c r="U71" s="145">
        <f>(O71+C71+E71+F71+G71+M71)</f>
        <v>1.3071927074874292</v>
      </c>
      <c r="V71" s="302"/>
      <c r="W71" s="146">
        <f>(U71*((VLOOKUP(B68,Lähtötiedot!C:Q,15,0)/(VLOOKUP(B68,Lähtötiedot!C:L,10,0)))))</f>
        <v>33.027602902939272</v>
      </c>
      <c r="X71" s="302"/>
      <c r="Y71" s="147">
        <f>(B71/U71)</f>
        <v>1.0092568156185158E-2</v>
      </c>
      <c r="Z71" s="147">
        <f>(SUM(U71-B71)/U71)</f>
        <v>0.98990743184381491</v>
      </c>
    </row>
    <row r="72" spans="1:26" ht="14" hidden="1" outlineLevel="1">
      <c r="A72" s="16" t="s">
        <v>255</v>
      </c>
      <c r="B72" s="128">
        <f>((VLOOKUP(B68,'Lähtötiedot - kustannukset'!C:F,4,0))/(VLOOKUP(B68,Lähtötiedot!C:Q,15,0)))</f>
        <v>1.3192931493585087E-2</v>
      </c>
      <c r="C72" s="127"/>
      <c r="D72" s="127"/>
      <c r="E72" s="127"/>
      <c r="F72" s="127"/>
      <c r="G72" s="129"/>
      <c r="H72" s="127"/>
      <c r="I72" s="129"/>
      <c r="J72" s="129"/>
      <c r="K72" s="129"/>
      <c r="L72" s="128">
        <f>((VLOOKUP(B68,Lähtötiedot!C:F,4,0)*'Lähtötiedot - kustannukset'!$F$22))</f>
        <v>3.8999999999999998E-3</v>
      </c>
      <c r="M72" s="127"/>
      <c r="N72" s="148">
        <f>(VLOOKUP(B68,Lähtötiedot!$C$3:$F$13,4,0)*('Lähtötiedot - kustannukset'!$F$73))</f>
        <v>0</v>
      </c>
      <c r="O72" s="131">
        <f>SUM(B72:M72)</f>
        <v>1.7092931493585088E-2</v>
      </c>
      <c r="P72" s="302"/>
      <c r="Q72" s="149">
        <f>(O72*((VLOOKUP(B68,Lähtötiedot!C:Q,15,0)/(VLOOKUP(B68,Lähtötiedot!C:L,10,0)))))</f>
        <v>0.43187094801223247</v>
      </c>
      <c r="R72" s="302"/>
      <c r="S72" s="134">
        <f>(B72/O72)</f>
        <v>0.77183550981505689</v>
      </c>
      <c r="T72" s="134">
        <f>(SUM(C72:M72)/O72)</f>
        <v>0.22816449018494311</v>
      </c>
      <c r="U72" s="150">
        <f>SUM(B72:M72)</f>
        <v>1.7092931493585088E-2</v>
      </c>
      <c r="V72" s="302"/>
      <c r="W72" s="136">
        <f>(U72*((VLOOKUP(B68,Lähtötiedot!C:Q,15,0)/(VLOOKUP(B68,Lähtötiedot!C:L,10,0)))))</f>
        <v>0.43187094801223247</v>
      </c>
      <c r="X72" s="302"/>
      <c r="Y72" s="137">
        <f>(B72/U72)</f>
        <v>0.77183550981505689</v>
      </c>
      <c r="Z72" s="137">
        <f>(SUM(U72-B72)/U72)</f>
        <v>0.22816449018494317</v>
      </c>
    </row>
    <row r="73" spans="1:26" ht="14" hidden="1" outlineLevel="1">
      <c r="A73" s="16"/>
      <c r="B73" s="174"/>
      <c r="C73" s="170"/>
      <c r="D73" s="98"/>
      <c r="E73" s="98"/>
      <c r="F73" s="99"/>
      <c r="G73" s="99"/>
      <c r="H73" s="151"/>
      <c r="I73" s="151"/>
      <c r="J73" s="151"/>
      <c r="K73" s="171"/>
      <c r="L73" s="171"/>
      <c r="M73" s="171"/>
      <c r="N73" s="171"/>
      <c r="O73" s="33"/>
      <c r="P73" s="153"/>
      <c r="Q73" s="103"/>
      <c r="S73" s="33"/>
      <c r="T73" s="33"/>
      <c r="U73" s="33"/>
      <c r="V73" s="33"/>
    </row>
    <row r="74" spans="1:26" ht="26" hidden="1" outlineLevel="1">
      <c r="A74" s="364" t="str">
        <f>(Lähtötiedot!$B$5&amp;" - Nykytilanne: "&amp;B74&amp;" ostettuna, Pesu "&amp;(VLOOKUP(B74,Lähtötiedot!C:S,17,0)&amp;" toimipisteellä, "&amp;(VLOOKUP(B74,Lähtötiedot!C:S,16,0)&amp;" kotona")))</f>
        <v>Toimija 2 - Nykytilanne: toimija 2 vaate 5 ostettuna, Pesu 0,4 toimipisteellä, 0,4 kotona</v>
      </c>
      <c r="B74" s="113" t="s">
        <v>264</v>
      </c>
      <c r="C74" s="114" t="str">
        <f>($M$13)</f>
        <v>Pesukerrat vuoden aikana</v>
      </c>
      <c r="D74" s="41">
        <f>(VLOOKUP(B74,Lähtötiedot!$C$3:$Q$36,15,0)/VLOOKUP(B74,Lähtötiedot!$C$3:$Q$36,10,0))</f>
        <v>25.266055045871564</v>
      </c>
      <c r="E74" s="114"/>
      <c r="F74" s="114"/>
      <c r="G74" s="114"/>
      <c r="H74" s="114"/>
      <c r="I74" s="114"/>
      <c r="J74" s="114"/>
      <c r="K74" s="114"/>
      <c r="L74" s="115"/>
      <c r="M74" s="115"/>
      <c r="N74" s="115"/>
      <c r="O74" s="349" t="str">
        <f>($E$14)</f>
        <v>€ / pesuväli</v>
      </c>
      <c r="P74" s="302"/>
      <c r="Q74" s="350" t="str">
        <f>($G$13)</f>
        <v>€ / vuosi</v>
      </c>
      <c r="R74" s="302"/>
      <c r="S74" s="349" t="str">
        <f>($K$13)</f>
        <v>Kustannuksen muodostuminen</v>
      </c>
      <c r="T74" s="302"/>
      <c r="U74" s="345" t="str">
        <f>($E$14)</f>
        <v>€ / pesuväli</v>
      </c>
      <c r="V74" s="302"/>
      <c r="W74" s="346" t="str">
        <f>($G$13)</f>
        <v>€ / vuosi</v>
      </c>
      <c r="X74" s="302"/>
      <c r="Y74" s="347" t="str">
        <f>($K$13)</f>
        <v>Kustannuksen muodostuminen</v>
      </c>
      <c r="Z74" s="302"/>
    </row>
    <row r="75" spans="1:26" ht="36" hidden="1" customHeight="1" outlineLevel="1">
      <c r="A75" s="302"/>
      <c r="B75" s="119" t="s">
        <v>244</v>
      </c>
      <c r="C75" s="119" t="s">
        <v>245</v>
      </c>
      <c r="D75" s="119" t="s">
        <v>246</v>
      </c>
      <c r="E75" s="119" t="s">
        <v>247</v>
      </c>
      <c r="F75" s="119" t="s">
        <v>108</v>
      </c>
      <c r="G75" s="119" t="s">
        <v>103</v>
      </c>
      <c r="H75" s="119" t="s">
        <v>248</v>
      </c>
      <c r="I75" s="119" t="s">
        <v>249</v>
      </c>
      <c r="J75" s="119" t="s">
        <v>250</v>
      </c>
      <c r="K75" s="99" t="s">
        <v>251</v>
      </c>
      <c r="L75" s="119" t="s">
        <v>113</v>
      </c>
      <c r="M75" s="119" t="s">
        <v>252</v>
      </c>
      <c r="N75" s="120" t="str">
        <f>($N$13)</f>
        <v>Jätehuolto</v>
      </c>
      <c r="O75" s="121" t="s">
        <v>200</v>
      </c>
      <c r="P75" s="116" t="str">
        <f>($C$14)</f>
        <v>PAINOTETTU KESKIARVO</v>
      </c>
      <c r="Q75" s="112" t="s">
        <v>200</v>
      </c>
      <c r="R75" s="122" t="str">
        <f>($C$14)</f>
        <v>PAINOTETTU KESKIARVO</v>
      </c>
      <c r="S75" s="117" t="str">
        <f>($J$14)</f>
        <v>HANKINTA</v>
      </c>
      <c r="T75" s="117" t="str">
        <f>($K$14)</f>
        <v>HUOLTO</v>
      </c>
      <c r="U75" s="118" t="s">
        <v>200</v>
      </c>
      <c r="V75" s="123" t="str">
        <f>($C$14)</f>
        <v>PAINOTETTU KESKIARVO</v>
      </c>
      <c r="W75" s="124" t="s">
        <v>200</v>
      </c>
      <c r="X75" s="125" t="str">
        <f>($C$14)</f>
        <v>PAINOTETTU KESKIARVO</v>
      </c>
      <c r="Y75" s="126" t="str">
        <f>($J$14)</f>
        <v>HANKINTA</v>
      </c>
      <c r="Z75" s="126" t="str">
        <f>($K$14)</f>
        <v>HUOLTO</v>
      </c>
    </row>
    <row r="76" spans="1:26" ht="12.5" hidden="1" outlineLevel="1">
      <c r="A76" s="16" t="s">
        <v>253</v>
      </c>
      <c r="B76" s="127">
        <f>((VLOOKUP(B74,'Lähtötiedot - kustannukset'!C:F,4,0))/(VLOOKUP(B74,Lähtötiedot!C:Q,15,0)))</f>
        <v>1.3192931493585087E-2</v>
      </c>
      <c r="C76" s="127">
        <f>((VLOOKUP(B74,Lähtötiedot!C:F,4,0)*'Lähtötiedot - kustannukset'!$F$24))</f>
        <v>3.2404735799334443E-2</v>
      </c>
      <c r="D76" s="127">
        <f>((VLOOKUP(B74,Lähtötiedot!C:G,4,0))*'Kotikonemallien lähtötiedot'!$H$6*'Lähtötiedot - kustannukset'!$F$16)</f>
        <v>6.9071891774891781E-3</v>
      </c>
      <c r="E76" s="127">
        <f>('Kotikonemallien lähtötiedot'!$I$6*(VLOOKUP(B74,Lähtötiedot!C:F,4,0)*'Lähtötiedot - kustannukset'!$F$19))</f>
        <v>8.8267683333333336E-3</v>
      </c>
      <c r="F76" s="127">
        <f>('Kotikonemallien lähtötiedot'!$I$6*(VLOOKUP(B74,Lähtötiedot!C:F,4,0)*'Lähtötiedot - kustannukset'!$F$20))</f>
        <v>1.0458607857142857E-2</v>
      </c>
      <c r="G76" s="128">
        <f>('Kotikonemallien lähtötiedot'!$I$6*(VLOOKUP(B74,Lähtötiedot!C:F,4,0)*'Lähtötiedot - kustannukset'!$F$18))</f>
        <v>7.4174523809523811E-4</v>
      </c>
      <c r="H76" s="129"/>
      <c r="I76" s="129"/>
      <c r="J76" s="128">
        <f>((VLOOKUP(B74,Lähtötiedot!C:F,4,0)*'Lähtötiedot - kustannukset'!$F$26))</f>
        <v>0.10634068773603655</v>
      </c>
      <c r="K76" s="128">
        <f>((VLOOKUP(B74,Lähtötiedot!C:F,4,0)*'Kotikonemallien lähtötiedot'!$R$6*'Lähtötiedot - kustannukset'!$F$16))</f>
        <v>4.4931999999999993E-2</v>
      </c>
      <c r="L76" s="127">
        <f>((VLOOKUP(B74,Lähtötiedot!C:F,4,0)*'Lähtötiedot - kustannukset'!$F$22))</f>
        <v>3.8999999999999998E-3</v>
      </c>
      <c r="M76" s="127">
        <f>(((VLOOKUP(B74,Lähtötiedot!C:F,4,0)/'Kotikonemallien lähtötiedot'!$B$6))*('Lähtötiedot - kustannukset'!$F$27*'Lähtötiedot - kustannukset'!$F$28))</f>
        <v>0.55604838709677418</v>
      </c>
      <c r="N76" s="130">
        <f>(VLOOKUP(B74,Lähtötiedot!$C$3:$F$13,4,0)*('Lähtötiedot - kustannukset'!$F$73))</f>
        <v>0</v>
      </c>
      <c r="O76" s="131">
        <f>SUM(B76:N76)</f>
        <v>0.78375305273179086</v>
      </c>
      <c r="P76" s="348">
        <f ca="1">IFERROR(__xludf.DUMMYFUNCTION("average.weighted(O76,(vlookup(B74,'Lähtötiedot'!C:S,17,0)),O77,0,O78,(vlookup(B74,'Lähtötiedot'!C:S,16,0)))"),0.400422992112687)</f>
        <v>0.400422992112687</v>
      </c>
      <c r="Q76" s="133">
        <f>(O76*((VLOOKUP(B74,Lähtötiedot!C:Q,15,0)/(VLOOKUP(B74,Lähtötiedot!C:L,10,0)))))</f>
        <v>19.802347772691306</v>
      </c>
      <c r="R76" s="348">
        <f ca="1">IFERROR(__xludf.DUMMYFUNCTION("average.weighted(Q76,(vlookup(B74,'Lähtötiedot'!C:S,17,0)),Q77,0,Q78,(vlookup(B74,'Lähtötiedot'!C:S,16,0)))"),10.1171093603517)</f>
        <v>10.1171093603517</v>
      </c>
      <c r="S76" s="134">
        <f>(B76/O76)</f>
        <v>1.683302087003144E-2</v>
      </c>
      <c r="T76" s="134">
        <f>(SUM(C76:M76)/O76)</f>
        <v>0.98316697912996864</v>
      </c>
      <c r="U76" s="135">
        <f>(O76+C76+E76+F76+G76+M76)</f>
        <v>1.3922332970564708</v>
      </c>
      <c r="V76" s="348">
        <f ca="1">IFERROR(__xludf.DUMMYFUNCTION("average.weighted(U76,(vlookup(B74,'Lähtötiedot'!C:S,17,0)),U77,0,U78,(vlookup(B74,'Lähtötiedot'!C:S,16,0)))"),0.704663114275027)</f>
        <v>0.70466311427502704</v>
      </c>
      <c r="W76" s="136">
        <f>(U76*((VLOOKUP(B74,Lähtötiedot!C:Q,15,0)/(VLOOKUP(B74,Lähtötiedot!C:L,10,0)))))</f>
        <v>35.176243120124049</v>
      </c>
      <c r="X76" s="348">
        <f ca="1">IFERROR(__xludf.DUMMYFUNCTION("average.weighted(W76,(vlookup(B74,'Lähtötiedot'!C:S,17,0)),W77,0,W78,(vlookup(B74,'Lähtötiedot'!C:S,16,0)))"),17.8040570340681)</f>
        <v>17.804057034068101</v>
      </c>
      <c r="Y76" s="137">
        <f>(B76/U76)</f>
        <v>9.4760924921694096E-3</v>
      </c>
      <c r="Z76" s="137">
        <f>(SUM(U76-B76)/U76)</f>
        <v>0.99052390750783059</v>
      </c>
    </row>
    <row r="77" spans="1:26" ht="14" hidden="1" outlineLevel="1">
      <c r="A77" s="138" t="s">
        <v>254</v>
      </c>
      <c r="B77" s="139">
        <f>((VLOOKUP(B74,'Lähtötiedot - kustannukset'!C:F,4,0))/(VLOOKUP(B74,Lähtötiedot!C:Q,15,0)))</f>
        <v>1.3192931493585087E-2</v>
      </c>
      <c r="C77" s="139">
        <f>((VLOOKUP(B74,Lähtötiedot!C:F,4,0)*'Lähtötiedot - kustannukset'!$F$24))</f>
        <v>3.2404735799334443E-2</v>
      </c>
      <c r="D77" s="139">
        <f>((VLOOKUP(B74,Lähtötiedot!C:G,4,0))*'Kotikonemallien lähtötiedot'!$H$6*'Lähtötiedot - kustannukset'!$F$16)</f>
        <v>6.9071891774891781E-3</v>
      </c>
      <c r="E77" s="139">
        <f>('Kotikonemallien lähtötiedot'!$I$6*(VLOOKUP(B74,Lähtötiedot!C:F,4,0)*'Lähtötiedot - kustannukset'!$F$19))</f>
        <v>8.8267683333333336E-3</v>
      </c>
      <c r="F77" s="139">
        <f>('Kotikonemallien lähtötiedot'!$I$6*(VLOOKUP(B74,Lähtötiedot!C:F,4,0)*'Lähtötiedot - kustannukset'!$F$20))</f>
        <v>1.0458607857142857E-2</v>
      </c>
      <c r="G77" s="139">
        <f>('Kotikonemallien lähtötiedot'!$I$6*(VLOOKUP(B74,Lähtötiedot!C:F,4,0)*'Lähtötiedot - kustannukset'!$F$18))</f>
        <v>7.4174523809523811E-4</v>
      </c>
      <c r="H77" s="139">
        <f>((VLOOKUP(B74,Lähtötiedot!C:F,4,0)*'Lähtötiedot - kustannukset'!$F$25))</f>
        <v>4.0613741024137735E-2</v>
      </c>
      <c r="I77" s="140">
        <f>((VLOOKUP(B74,Lähtötiedot!C:F,4,0)*'Kotikonemallien lähtötiedot'!$M$6*'Lähtötiedot - kustannukset'!$F$16))</f>
        <v>2.5618357142857141E-2</v>
      </c>
      <c r="J77" s="140"/>
      <c r="K77" s="140"/>
      <c r="L77" s="139">
        <f>((VLOOKUP(B74,Lähtötiedot!C:F,4,0)*'Lähtötiedot - kustannukset'!$F$22))</f>
        <v>3.8999999999999998E-3</v>
      </c>
      <c r="M77" s="139">
        <f>((VLOOKUP(B74,Lähtötiedot!C:F,4,0)/'Kotikonemallien lähtötiedot'!$B$6*'Lähtötiedot - kustannukset'!$F$27*'Lähtötiedot - kustannukset'!$F$28))</f>
        <v>0.55604838709677418</v>
      </c>
      <c r="N77" s="141">
        <f>(VLOOKUP(B74,Lähtötiedot!$C$3:$F$13,4,0)*('Lähtötiedot - kustannukset'!$F$73))</f>
        <v>0</v>
      </c>
      <c r="O77" s="142">
        <f>SUM(B77:M77)</f>
        <v>0.69871246316274915</v>
      </c>
      <c r="P77" s="302"/>
      <c r="Q77" s="143">
        <f>(O77*((VLOOKUP(B74,Lähtötiedot!C:Q,15,0)/(VLOOKUP(B74,Lähtötiedot!C:L,10,0)))))</f>
        <v>17.653707555506529</v>
      </c>
      <c r="R77" s="302"/>
      <c r="S77" s="144">
        <f>(B77/O77)</f>
        <v>1.8881774963433125E-2</v>
      </c>
      <c r="T77" s="144">
        <f>(SUM(C77:M77)/O77)</f>
        <v>0.98111822503656698</v>
      </c>
      <c r="U77" s="145">
        <f>(O77+C77+E77+F77+G77+M77)</f>
        <v>1.3071927074874292</v>
      </c>
      <c r="V77" s="302"/>
      <c r="W77" s="146">
        <f>(U77*((VLOOKUP(B74,Lähtötiedot!C:Q,15,0)/(VLOOKUP(B74,Lähtötiedot!C:L,10,0)))))</f>
        <v>33.027602902939272</v>
      </c>
      <c r="X77" s="302"/>
      <c r="Y77" s="147">
        <f>(B77/U77)</f>
        <v>1.0092568156185158E-2</v>
      </c>
      <c r="Z77" s="147">
        <f>(SUM(U77-B77)/U77)</f>
        <v>0.98990743184381491</v>
      </c>
    </row>
    <row r="78" spans="1:26" ht="14" hidden="1" outlineLevel="1">
      <c r="A78" s="16" t="s">
        <v>255</v>
      </c>
      <c r="B78" s="128">
        <f>((VLOOKUP(B74,'Lähtötiedot - kustannukset'!C:F,4,0))/(VLOOKUP(B74,Lähtötiedot!C:Q,15,0)))</f>
        <v>1.3192931493585087E-2</v>
      </c>
      <c r="C78" s="127"/>
      <c r="D78" s="127"/>
      <c r="E78" s="127"/>
      <c r="F78" s="127"/>
      <c r="G78" s="129"/>
      <c r="H78" s="127"/>
      <c r="I78" s="129"/>
      <c r="J78" s="129"/>
      <c r="K78" s="129"/>
      <c r="L78" s="128">
        <f>((VLOOKUP(B74,Lähtötiedot!C:F,4,0)*'Lähtötiedot - kustannukset'!$F$22))</f>
        <v>3.8999999999999998E-3</v>
      </c>
      <c r="M78" s="127"/>
      <c r="N78" s="148">
        <f>(VLOOKUP(B74,Lähtötiedot!$C$3:$F$13,4,0)*('Lähtötiedot - kustannukset'!$F$73))</f>
        <v>0</v>
      </c>
      <c r="O78" s="131">
        <f>SUM(B78:M78)</f>
        <v>1.7092931493585088E-2</v>
      </c>
      <c r="P78" s="302"/>
      <c r="Q78" s="149">
        <f>(O78*((VLOOKUP(B74,Lähtötiedot!C:Q,15,0)/(VLOOKUP(B74,Lähtötiedot!C:L,10,0)))))</f>
        <v>0.43187094801223247</v>
      </c>
      <c r="R78" s="302"/>
      <c r="S78" s="134">
        <f>(B78/O78)</f>
        <v>0.77183550981505689</v>
      </c>
      <c r="T78" s="134">
        <f>(SUM(C78:M78)/O78)</f>
        <v>0.22816449018494311</v>
      </c>
      <c r="U78" s="150">
        <f>SUM(B78:M78)</f>
        <v>1.7092931493585088E-2</v>
      </c>
      <c r="V78" s="302"/>
      <c r="W78" s="136">
        <f>(U78*((VLOOKUP(B74,Lähtötiedot!C:Q,15,0)/(VLOOKUP(B74,Lähtötiedot!C:L,10,0)))))</f>
        <v>0.43187094801223247</v>
      </c>
      <c r="X78" s="302"/>
      <c r="Y78" s="137">
        <f>(B78/U78)</f>
        <v>0.77183550981505689</v>
      </c>
      <c r="Z78" s="137">
        <f>(SUM(U78-B78)/U78)</f>
        <v>0.22816449018494317</v>
      </c>
    </row>
    <row r="79" spans="1:26" ht="14" hidden="1" outlineLevel="1">
      <c r="A79" s="16"/>
      <c r="B79" s="174"/>
      <c r="C79" s="170"/>
      <c r="D79" s="175"/>
      <c r="E79" s="98"/>
      <c r="F79" s="99"/>
      <c r="G79" s="99"/>
      <c r="H79" s="151"/>
      <c r="I79" s="151"/>
      <c r="J79" s="151"/>
      <c r="K79" s="171"/>
      <c r="L79" s="171"/>
      <c r="M79" s="171"/>
      <c r="N79" s="171"/>
      <c r="O79" s="33"/>
      <c r="P79" s="176"/>
      <c r="Q79" s="103"/>
      <c r="S79" s="33"/>
      <c r="T79" s="33"/>
      <c r="U79" s="33"/>
      <c r="V79" s="33"/>
    </row>
    <row r="80" spans="1:26" ht="14">
      <c r="A80" s="173"/>
      <c r="B80" s="174"/>
      <c r="C80" s="170"/>
      <c r="D80" s="98"/>
      <c r="E80" s="98"/>
      <c r="F80" s="99"/>
      <c r="G80" s="99"/>
      <c r="H80" s="151"/>
      <c r="I80" s="151"/>
      <c r="J80" s="151"/>
      <c r="K80" s="171"/>
      <c r="L80" s="171"/>
      <c r="M80" s="171"/>
      <c r="N80" s="171"/>
      <c r="O80" s="33"/>
      <c r="P80" s="176"/>
      <c r="Q80" s="103"/>
      <c r="S80" s="33"/>
      <c r="T80" s="33"/>
      <c r="U80" s="33"/>
      <c r="V80" s="33"/>
    </row>
    <row r="81" spans="1:22" ht="26" collapsed="1">
      <c r="A81" s="173" t="str">
        <f>(Lähtötiedot!B5&amp;", skenaario: tuotteet vuokrattu, pesu palveluntarjoajalla")</f>
        <v>Toimija 2, skenaario: tuotteet vuokrattu, pesu palveluntarjoajalla</v>
      </c>
      <c r="B81" s="174"/>
      <c r="C81" s="170"/>
      <c r="D81" s="98"/>
      <c r="E81" s="98"/>
      <c r="F81" s="99"/>
      <c r="G81" s="99"/>
      <c r="H81" s="151"/>
      <c r="I81" s="151"/>
      <c r="J81" s="151"/>
      <c r="K81" s="171"/>
      <c r="L81" s="171"/>
      <c r="M81" s="171"/>
      <c r="N81" s="171"/>
      <c r="O81" s="33"/>
      <c r="P81" s="176"/>
      <c r="Q81" s="103"/>
      <c r="S81" s="33"/>
      <c r="T81" s="33"/>
      <c r="U81" s="33"/>
      <c r="V81" s="33"/>
    </row>
    <row r="82" spans="1:22" ht="26" hidden="1" outlineLevel="1">
      <c r="A82" s="365" t="str">
        <f>(Lähtötiedot!$B$5&amp;"     "&amp;B82)</f>
        <v>Toimija 2     toimija 2 vaate 1</v>
      </c>
      <c r="B82" s="177" t="s">
        <v>260</v>
      </c>
      <c r="C82" s="156" t="s">
        <v>265</v>
      </c>
      <c r="D82" s="157">
        <f>(VLOOKUP(B82,Lähtötiedot!$C$3:$Q$36,15,0)/VLOOKUP(B82,Lähtötiedot!$C$3:$Q$36,10,0))</f>
        <v>202.12844036697251</v>
      </c>
      <c r="E82" s="177"/>
      <c r="F82" s="178"/>
      <c r="G82" s="178"/>
      <c r="H82" s="178"/>
      <c r="I82" s="178"/>
      <c r="J82" s="156"/>
      <c r="K82" s="177"/>
      <c r="L82" s="177"/>
      <c r="M82" s="177"/>
      <c r="N82" s="177"/>
      <c r="O82" s="177"/>
      <c r="P82" s="367" t="str">
        <f>($B$14)</f>
        <v>YHTEENSÄ (€ / käyttökerta)</v>
      </c>
      <c r="Q82" s="351" t="str">
        <f>($G$13)</f>
        <v>€ / vuosi</v>
      </c>
      <c r="R82" s="302"/>
      <c r="S82" s="179"/>
      <c r="T82" s="179"/>
      <c r="U82" s="179"/>
      <c r="V82" s="179"/>
    </row>
    <row r="83" spans="1:22" ht="26" hidden="1" outlineLevel="1">
      <c r="A83" s="302"/>
      <c r="B83" s="119" t="s">
        <v>266</v>
      </c>
      <c r="C83" s="99" t="s">
        <v>267</v>
      </c>
      <c r="D83" s="119" t="s">
        <v>258</v>
      </c>
      <c r="E83" s="119"/>
      <c r="F83" s="119"/>
      <c r="G83" s="119"/>
      <c r="H83" s="119"/>
      <c r="I83" s="119"/>
      <c r="J83" s="99"/>
      <c r="K83" s="119"/>
      <c r="L83" s="119"/>
      <c r="M83" s="119"/>
      <c r="N83" s="119"/>
      <c r="O83" s="95" t="s">
        <v>200</v>
      </c>
      <c r="P83" s="302"/>
      <c r="Q83" s="302"/>
      <c r="R83" s="302"/>
      <c r="S83" s="33"/>
      <c r="T83" s="33"/>
      <c r="U83" s="33"/>
      <c r="V83" s="33"/>
    </row>
    <row r="84" spans="1:22" ht="13" hidden="1" outlineLevel="1">
      <c r="A84" s="22" t="str">
        <f>('Palveluntarjoajien lähtötiedot'!A8)</f>
        <v>PESULA 1</v>
      </c>
      <c r="B84" s="148">
        <f>(VLOOKUP(A84,'Lähtötiedot - kustannukset'!$B$77:$F$80,5,0))*(VLOOKUP(B82,Lähtötiedot!$C$3:$F$13,4,0))</f>
        <v>0</v>
      </c>
      <c r="C84" s="163">
        <f>(VLOOKUP("*"&amp;B82&amp;"*",'Lähtötiedot - kustannukset'!$C$82:$F$86,4,0))</f>
        <v>0</v>
      </c>
      <c r="D84" s="148">
        <f>(VLOOKUP(A84,'Lähtötiedot - kustannukset'!$B$77:$F$80,5,0))*(VLOOKUP(B82,Lähtötiedot!$C$3:$F$13,4,0))</f>
        <v>0</v>
      </c>
      <c r="E84" s="164"/>
      <c r="F84" s="164"/>
      <c r="G84" s="163"/>
      <c r="H84" s="163"/>
      <c r="I84" s="164"/>
      <c r="J84" s="164"/>
      <c r="K84" s="164"/>
      <c r="L84" s="164"/>
      <c r="M84" s="164"/>
      <c r="N84" s="164"/>
      <c r="O84" s="180">
        <f>SUM(B84:L84)</f>
        <v>0</v>
      </c>
      <c r="P84" s="132">
        <f>(O84)</f>
        <v>0</v>
      </c>
      <c r="Q84" s="354">
        <f>(P84*D82)</f>
        <v>0</v>
      </c>
      <c r="R84" s="302"/>
      <c r="S84" s="33"/>
      <c r="T84" s="33"/>
      <c r="U84" s="33"/>
      <c r="V84" s="33"/>
    </row>
    <row r="85" spans="1:22" ht="13" hidden="1" outlineLevel="1">
      <c r="A85" s="22" t="str">
        <f>('Palveluntarjoajien lähtötiedot'!A9)</f>
        <v>PESULA 2</v>
      </c>
      <c r="B85" s="148">
        <f>(VLOOKUP(A85,'Lähtötiedot - kustannukset'!$B$77:$F$80,5,0))*(VLOOKUP(B82,Lähtötiedot!$C$3:$F$13,4,0))</f>
        <v>0</v>
      </c>
      <c r="C85" s="163">
        <f>(VLOOKUP("*"&amp;B82&amp;"*",'Lähtötiedot - kustannukset'!$C$88:$F$92,4,0))</f>
        <v>0</v>
      </c>
      <c r="D85" s="148">
        <f>(VLOOKUP(A85,'Lähtötiedot - kustannukset'!$B$77:$F$80,5,0))*(VLOOKUP(B82,Lähtötiedot!$C$3:$F$13,4,0))</f>
        <v>0</v>
      </c>
      <c r="E85" s="164"/>
      <c r="F85" s="164"/>
      <c r="G85" s="163"/>
      <c r="H85" s="163"/>
      <c r="I85" s="164"/>
      <c r="J85" s="164"/>
      <c r="K85" s="164"/>
      <c r="L85" s="164"/>
      <c r="M85" s="164"/>
      <c r="N85" s="164"/>
      <c r="O85" s="180">
        <f>SUM(B85:L85)</f>
        <v>0</v>
      </c>
      <c r="P85" s="132">
        <f>(O85)</f>
        <v>0</v>
      </c>
      <c r="Q85" s="354">
        <f>(P85*D82)</f>
        <v>0</v>
      </c>
      <c r="R85" s="302"/>
      <c r="S85" s="33"/>
      <c r="T85" s="33"/>
      <c r="U85" s="33"/>
      <c r="V85" s="33"/>
    </row>
    <row r="86" spans="1:22" ht="13" hidden="1" outlineLevel="1">
      <c r="A86" s="22" t="str">
        <f>('Palveluntarjoajien lähtötiedot'!A10)</f>
        <v>PESULA 3</v>
      </c>
      <c r="B86" s="148">
        <f>(VLOOKUP(A86,'Lähtötiedot - kustannukset'!$B$77:$F$80,5,0))*(VLOOKUP(B82,Lähtötiedot!$C$3:$F$13,4,0))</f>
        <v>0</v>
      </c>
      <c r="C86" s="163">
        <f>(VLOOKUP("*"&amp;B82&amp;"*",'Lähtötiedot - kustannukset'!$C$94:$F$98,4,0))</f>
        <v>0</v>
      </c>
      <c r="D86" s="148">
        <f>(VLOOKUP(A86,'Lähtötiedot - kustannukset'!$B$77:$F$80,5,0))*(VLOOKUP(B82,Lähtötiedot!$C$3:$F$13,4,0))</f>
        <v>0</v>
      </c>
      <c r="E86" s="164"/>
      <c r="F86" s="164"/>
      <c r="G86" s="163"/>
      <c r="H86" s="163"/>
      <c r="I86" s="164"/>
      <c r="J86" s="164"/>
      <c r="K86" s="164"/>
      <c r="L86" s="164"/>
      <c r="M86" s="164"/>
      <c r="N86" s="164"/>
      <c r="O86" s="180">
        <f>SUM(B86:L86)</f>
        <v>0</v>
      </c>
      <c r="P86" s="132">
        <f>(O86)</f>
        <v>0</v>
      </c>
      <c r="Q86" s="354">
        <f>(P86*D82)</f>
        <v>0</v>
      </c>
      <c r="R86" s="302"/>
      <c r="S86" s="33"/>
      <c r="T86" s="33"/>
      <c r="U86" s="33"/>
      <c r="V86" s="33"/>
    </row>
    <row r="87" spans="1:22" ht="14" hidden="1" outlineLevel="1">
      <c r="A87" s="16"/>
      <c r="B87" s="152"/>
      <c r="C87" s="152"/>
      <c r="D87" s="152">
        <f>('Lähtötiedot - kustannukset'!F116)</f>
        <v>0</v>
      </c>
      <c r="E87" s="170"/>
      <c r="F87" s="170"/>
      <c r="G87" s="170"/>
      <c r="H87" s="170"/>
      <c r="I87" s="171"/>
      <c r="J87" s="171"/>
      <c r="K87" s="170"/>
      <c r="L87" s="170"/>
      <c r="M87" s="170"/>
      <c r="N87" s="170"/>
      <c r="O87" s="181"/>
      <c r="P87" s="153"/>
      <c r="Q87" s="368"/>
      <c r="R87" s="302"/>
      <c r="S87" s="33"/>
      <c r="T87" s="33"/>
      <c r="U87" s="33"/>
      <c r="V87" s="33"/>
    </row>
    <row r="88" spans="1:22" ht="26" hidden="1" outlineLevel="1">
      <c r="A88" s="365" t="str">
        <f>(Lähtötiedot!$B$5&amp;"     "&amp;B88)</f>
        <v>Toimija 2     toimija 2 vaate 2</v>
      </c>
      <c r="B88" s="177" t="s">
        <v>261</v>
      </c>
      <c r="C88" s="156" t="s">
        <v>265</v>
      </c>
      <c r="D88" s="157">
        <f>(VLOOKUP(B88,Lähtötiedot!$C$3:$Q$36,15,0)/VLOOKUP(B88,Lähtötiedot!$C$3:$Q$36,10,0))</f>
        <v>202.12844036697251</v>
      </c>
      <c r="E88" s="182"/>
      <c r="F88" s="183"/>
      <c r="G88" s="183"/>
      <c r="H88" s="183"/>
      <c r="I88" s="183"/>
      <c r="J88" s="158"/>
      <c r="K88" s="177"/>
      <c r="L88" s="177"/>
      <c r="M88" s="177"/>
      <c r="N88" s="177"/>
      <c r="O88" s="177"/>
      <c r="P88" s="367" t="str">
        <f>($B$14)</f>
        <v>YHTEENSÄ (€ / käyttökerta)</v>
      </c>
      <c r="Q88" s="351" t="str">
        <f>($G$13)</f>
        <v>€ / vuosi</v>
      </c>
      <c r="R88" s="302"/>
      <c r="S88" s="179"/>
      <c r="T88" s="179"/>
      <c r="U88" s="179"/>
      <c r="V88" s="179"/>
    </row>
    <row r="89" spans="1:22" ht="26" hidden="1" outlineLevel="1">
      <c r="A89" s="302"/>
      <c r="B89" s="119" t="s">
        <v>266</v>
      </c>
      <c r="C89" s="99" t="s">
        <v>267</v>
      </c>
      <c r="D89" s="119" t="s">
        <v>258</v>
      </c>
      <c r="E89" s="119"/>
      <c r="F89" s="119"/>
      <c r="G89" s="119"/>
      <c r="H89" s="119"/>
      <c r="I89" s="119"/>
      <c r="J89" s="99"/>
      <c r="K89" s="119"/>
      <c r="L89" s="119"/>
      <c r="M89" s="119"/>
      <c r="N89" s="119"/>
      <c r="O89" s="95" t="s">
        <v>200</v>
      </c>
      <c r="P89" s="302"/>
      <c r="Q89" s="302"/>
      <c r="R89" s="302"/>
      <c r="S89" s="33"/>
      <c r="T89" s="33"/>
      <c r="U89" s="33"/>
      <c r="V89" s="33"/>
    </row>
    <row r="90" spans="1:22" ht="13" hidden="1" outlineLevel="1">
      <c r="A90" s="22" t="str">
        <f>('Palveluntarjoajien lähtötiedot'!A8)</f>
        <v>PESULA 1</v>
      </c>
      <c r="B90" s="148">
        <f>(VLOOKUP(A90,'Lähtötiedot - kustannukset'!$B$77:$F$80,5,0))*(VLOOKUP(B88,Lähtötiedot!$C$3:$F$13,4,0))</f>
        <v>0</v>
      </c>
      <c r="C90" s="163">
        <f>(VLOOKUP("*"&amp;B88&amp;"*",'Lähtötiedot - kustannukset'!$C$82:$F$86,4,0))</f>
        <v>0</v>
      </c>
      <c r="D90" s="148">
        <f>(VLOOKUP(A90,'Lähtötiedot - kustannukset'!$B$77:$F$80,5,0))*(VLOOKUP(B88,Lähtötiedot!$C$3:$F$13,4,0))</f>
        <v>0</v>
      </c>
      <c r="E90" s="164"/>
      <c r="F90" s="164"/>
      <c r="G90" s="163"/>
      <c r="H90" s="163"/>
      <c r="I90" s="164"/>
      <c r="J90" s="164"/>
      <c r="K90" s="164"/>
      <c r="L90" s="164"/>
      <c r="M90" s="164"/>
      <c r="N90" s="164"/>
      <c r="O90" s="180">
        <f>SUM(B90:L90)</f>
        <v>0</v>
      </c>
      <c r="P90" s="132">
        <f>(O90)</f>
        <v>0</v>
      </c>
      <c r="Q90" s="354">
        <f>(P90*D88)</f>
        <v>0</v>
      </c>
      <c r="R90" s="302"/>
      <c r="S90" s="33"/>
      <c r="T90" s="33"/>
      <c r="U90" s="33"/>
      <c r="V90" s="33"/>
    </row>
    <row r="91" spans="1:22" ht="13" hidden="1" outlineLevel="1">
      <c r="A91" s="22" t="str">
        <f>('Palveluntarjoajien lähtötiedot'!A9)</f>
        <v>PESULA 2</v>
      </c>
      <c r="B91" s="148">
        <f>(VLOOKUP(A91,'Lähtötiedot - kustannukset'!$B$77:$F$80,5,0))*(VLOOKUP(B88,Lähtötiedot!$C$3:$F$13,4,0))</f>
        <v>0</v>
      </c>
      <c r="C91" s="163">
        <f>(VLOOKUP("*"&amp;B88&amp;"*",'Lähtötiedot - kustannukset'!$C$88:$F$92,4,0))</f>
        <v>0</v>
      </c>
      <c r="D91" s="148">
        <f>(VLOOKUP(A91,'Lähtötiedot - kustannukset'!$B$77:$F$80,5,0))*(VLOOKUP(B88,Lähtötiedot!$C$3:$F$13,4,0))</f>
        <v>0</v>
      </c>
      <c r="E91" s="164"/>
      <c r="F91" s="164"/>
      <c r="G91" s="163"/>
      <c r="H91" s="163"/>
      <c r="I91" s="164"/>
      <c r="J91" s="164"/>
      <c r="K91" s="164"/>
      <c r="L91" s="164"/>
      <c r="M91" s="164"/>
      <c r="N91" s="164"/>
      <c r="O91" s="180">
        <f>SUM(B91:L91)</f>
        <v>0</v>
      </c>
      <c r="P91" s="132">
        <f>(O91)</f>
        <v>0</v>
      </c>
      <c r="Q91" s="354">
        <f>(P91*D88)</f>
        <v>0</v>
      </c>
      <c r="R91" s="302"/>
      <c r="S91" s="33"/>
      <c r="T91" s="33"/>
      <c r="U91" s="33"/>
      <c r="V91" s="33"/>
    </row>
    <row r="92" spans="1:22" ht="13" hidden="1" outlineLevel="1">
      <c r="A92" s="22" t="str">
        <f>('Palveluntarjoajien lähtötiedot'!A10)</f>
        <v>PESULA 3</v>
      </c>
      <c r="B92" s="148">
        <f>(VLOOKUP(A92,'Lähtötiedot - kustannukset'!$B$77:$F$80,5,0))*(VLOOKUP(B88,Lähtötiedot!$C$3:$F$13,4,0))</f>
        <v>0</v>
      </c>
      <c r="C92" s="163">
        <f>(VLOOKUP("*"&amp;B88&amp;"*",'Lähtötiedot - kustannukset'!$C$94:$F$98,4,0))</f>
        <v>0</v>
      </c>
      <c r="D92" s="148">
        <f>(VLOOKUP(A92,'Lähtötiedot - kustannukset'!$B$77:$F$80,5,0))*(VLOOKUP(B88,Lähtötiedot!$C$3:$F$13,4,0))</f>
        <v>0</v>
      </c>
      <c r="E92" s="164"/>
      <c r="F92" s="164"/>
      <c r="G92" s="163"/>
      <c r="H92" s="163"/>
      <c r="I92" s="164"/>
      <c r="J92" s="164"/>
      <c r="K92" s="164"/>
      <c r="L92" s="164"/>
      <c r="M92" s="164"/>
      <c r="N92" s="164"/>
      <c r="O92" s="180">
        <f>SUM(B92:L92)</f>
        <v>0</v>
      </c>
      <c r="P92" s="132">
        <f>(O92)</f>
        <v>0</v>
      </c>
      <c r="Q92" s="354">
        <f>(P92*D88)</f>
        <v>0</v>
      </c>
      <c r="R92" s="302"/>
      <c r="S92" s="33"/>
      <c r="T92" s="33"/>
      <c r="U92" s="33"/>
      <c r="V92" s="33"/>
    </row>
    <row r="93" spans="1:22" ht="14" hidden="1" outlineLevel="1">
      <c r="A93" s="22">
        <f>('Palveluntarjoajien lähtötiedot'!A11)</f>
        <v>0</v>
      </c>
      <c r="B93" s="184"/>
      <c r="C93" s="184"/>
      <c r="D93" s="184"/>
      <c r="E93" s="185"/>
      <c r="F93" s="185"/>
      <c r="G93" s="135"/>
      <c r="H93" s="135"/>
      <c r="I93" s="185"/>
      <c r="J93" s="185"/>
      <c r="K93" s="185"/>
      <c r="L93" s="185"/>
      <c r="M93" s="185"/>
      <c r="N93" s="185"/>
      <c r="O93" s="150"/>
      <c r="P93" s="132"/>
      <c r="Q93" s="354"/>
      <c r="R93" s="302"/>
      <c r="S93" s="33"/>
      <c r="T93" s="33"/>
      <c r="U93" s="33"/>
      <c r="V93" s="33"/>
    </row>
    <row r="94" spans="1:22" ht="26" hidden="1" outlineLevel="1">
      <c r="A94" s="365" t="str">
        <f>(Lähtötiedot!$B$5&amp;"     "&amp;B94)</f>
        <v>Toimija 2     toimija 2 vaate 3</v>
      </c>
      <c r="B94" s="177" t="s">
        <v>262</v>
      </c>
      <c r="C94" s="156" t="s">
        <v>265</v>
      </c>
      <c r="D94" s="157">
        <f>(VLOOKUP(B94,Lähtötiedot!$C$3:$Q$36,15,0)/VLOOKUP(B94,Lähtötiedot!$C$3:$Q$36,10,0))</f>
        <v>101.06422018348626</v>
      </c>
      <c r="E94" s="182"/>
      <c r="F94" s="183"/>
      <c r="G94" s="183"/>
      <c r="H94" s="183"/>
      <c r="I94" s="183"/>
      <c r="J94" s="158"/>
      <c r="K94" s="177"/>
      <c r="L94" s="177"/>
      <c r="M94" s="177"/>
      <c r="N94" s="177"/>
      <c r="O94" s="177"/>
      <c r="P94" s="367" t="str">
        <f>($B$14)</f>
        <v>YHTEENSÄ (€ / käyttökerta)</v>
      </c>
      <c r="Q94" s="351" t="str">
        <f>($G$13)</f>
        <v>€ / vuosi</v>
      </c>
      <c r="R94" s="302"/>
      <c r="S94" s="179"/>
      <c r="T94" s="179"/>
      <c r="U94" s="179"/>
      <c r="V94" s="179"/>
    </row>
    <row r="95" spans="1:22" ht="26" hidden="1" outlineLevel="1">
      <c r="A95" s="302"/>
      <c r="B95" s="119" t="s">
        <v>266</v>
      </c>
      <c r="C95" s="99" t="s">
        <v>267</v>
      </c>
      <c r="D95" s="119" t="s">
        <v>258</v>
      </c>
      <c r="E95" s="119"/>
      <c r="F95" s="119"/>
      <c r="G95" s="119"/>
      <c r="H95" s="119"/>
      <c r="I95" s="119"/>
      <c r="J95" s="99"/>
      <c r="K95" s="119"/>
      <c r="L95" s="119"/>
      <c r="M95" s="119"/>
      <c r="N95" s="119"/>
      <c r="O95" s="95" t="s">
        <v>200</v>
      </c>
      <c r="P95" s="302"/>
      <c r="Q95" s="302"/>
      <c r="R95" s="302"/>
      <c r="S95" s="33"/>
      <c r="T95" s="33"/>
      <c r="U95" s="33"/>
      <c r="V95" s="33"/>
    </row>
    <row r="96" spans="1:22" ht="13" hidden="1" outlineLevel="1">
      <c r="A96" s="22" t="str">
        <f>('Palveluntarjoajien lähtötiedot'!A8)</f>
        <v>PESULA 1</v>
      </c>
      <c r="B96" s="148">
        <f>(VLOOKUP(A96,'Lähtötiedot - kustannukset'!$B$77:$F$80,5,0))*(VLOOKUP(B94,Lähtötiedot!$C$3:$F$13,4,0))</f>
        <v>0</v>
      </c>
      <c r="C96" s="163">
        <f>(VLOOKUP("*"&amp;B94&amp;"*",'Lähtötiedot - kustannukset'!$C$82:$F$86,4,0))</f>
        <v>0</v>
      </c>
      <c r="D96" s="148">
        <f>(VLOOKUP(A96,'Lähtötiedot - kustannukset'!$B$77:$F$80,5,0))*(VLOOKUP(B94,Lähtötiedot!$C$3:$F$13,4,0))</f>
        <v>0</v>
      </c>
      <c r="E96" s="164"/>
      <c r="F96" s="164"/>
      <c r="G96" s="163"/>
      <c r="H96" s="163"/>
      <c r="I96" s="164"/>
      <c r="J96" s="164"/>
      <c r="K96" s="164"/>
      <c r="L96" s="164"/>
      <c r="M96" s="164"/>
      <c r="N96" s="164"/>
      <c r="O96" s="180">
        <f>SUM(B96:L96)</f>
        <v>0</v>
      </c>
      <c r="P96" s="132">
        <f>(O96)</f>
        <v>0</v>
      </c>
      <c r="Q96" s="354">
        <f>(P96*D94)</f>
        <v>0</v>
      </c>
      <c r="R96" s="302"/>
      <c r="S96" s="33"/>
      <c r="T96" s="33"/>
      <c r="U96" s="33"/>
      <c r="V96" s="33"/>
    </row>
    <row r="97" spans="1:38" ht="13" hidden="1" outlineLevel="1">
      <c r="A97" s="22" t="str">
        <f>('Palveluntarjoajien lähtötiedot'!A9)</f>
        <v>PESULA 2</v>
      </c>
      <c r="B97" s="148">
        <f>(VLOOKUP(A97,'Lähtötiedot - kustannukset'!$B$77:$F$80,5,0))*(VLOOKUP(B94,Lähtötiedot!$C$3:$F$13,4,0))</f>
        <v>0</v>
      </c>
      <c r="C97" s="163">
        <f>(VLOOKUP("*"&amp;B94&amp;"*",'Lähtötiedot - kustannukset'!$C$88:$F$92,4,0))</f>
        <v>0</v>
      </c>
      <c r="D97" s="148">
        <f>(VLOOKUP(A97,'Lähtötiedot - kustannukset'!$B$77:$F$80,5,0))*(VLOOKUP(B94,Lähtötiedot!$C$3:$F$13,4,0))</f>
        <v>0</v>
      </c>
      <c r="E97" s="164"/>
      <c r="F97" s="164"/>
      <c r="G97" s="163"/>
      <c r="H97" s="163"/>
      <c r="I97" s="164"/>
      <c r="J97" s="164"/>
      <c r="K97" s="164"/>
      <c r="L97" s="164"/>
      <c r="M97" s="164"/>
      <c r="N97" s="164"/>
      <c r="O97" s="180">
        <f>SUM(B97:L97)</f>
        <v>0</v>
      </c>
      <c r="P97" s="132">
        <f>(O97)</f>
        <v>0</v>
      </c>
      <c r="Q97" s="354">
        <f>(P97*D94)</f>
        <v>0</v>
      </c>
      <c r="R97" s="302"/>
      <c r="S97" s="33"/>
      <c r="T97" s="33"/>
      <c r="U97" s="33"/>
      <c r="V97" s="33"/>
    </row>
    <row r="98" spans="1:38" ht="13" hidden="1" outlineLevel="1">
      <c r="A98" s="22" t="str">
        <f>('Palveluntarjoajien lähtötiedot'!A10)</f>
        <v>PESULA 3</v>
      </c>
      <c r="B98" s="148">
        <f>(VLOOKUP(A98,'Lähtötiedot - kustannukset'!$B$77:$F$80,5,0))*(VLOOKUP(B94,Lähtötiedot!$C$3:$F$13,4,0))</f>
        <v>0</v>
      </c>
      <c r="C98" s="163">
        <f>(VLOOKUP("*"&amp;B94&amp;"*",'Lähtötiedot - kustannukset'!$C$94:$F$98,4,0))</f>
        <v>0</v>
      </c>
      <c r="D98" s="148">
        <f>(VLOOKUP(A98,'Lähtötiedot - kustannukset'!$B$77:$F$80,5,0))*(VLOOKUP(B94,Lähtötiedot!$C$3:$F$13,4,0))</f>
        <v>0</v>
      </c>
      <c r="E98" s="164"/>
      <c r="F98" s="164"/>
      <c r="G98" s="163"/>
      <c r="H98" s="163"/>
      <c r="I98" s="164"/>
      <c r="J98" s="164"/>
      <c r="K98" s="164"/>
      <c r="L98" s="164"/>
      <c r="M98" s="164"/>
      <c r="N98" s="164"/>
      <c r="O98" s="180">
        <f>SUM(B98:L98)</f>
        <v>0</v>
      </c>
      <c r="P98" s="132">
        <f>(O98)</f>
        <v>0</v>
      </c>
      <c r="Q98" s="354">
        <f>(P98*D94)</f>
        <v>0</v>
      </c>
      <c r="R98" s="302"/>
      <c r="S98" s="33"/>
      <c r="T98" s="33"/>
      <c r="U98" s="33"/>
      <c r="V98" s="33"/>
    </row>
    <row r="99" spans="1:38" ht="14" hidden="1" outlineLevel="1">
      <c r="A99" s="22">
        <f>('Palveluntarjoajien lähtötiedot'!A11)</f>
        <v>0</v>
      </c>
      <c r="B99" s="184"/>
      <c r="C99" s="184"/>
      <c r="D99" s="184"/>
      <c r="E99" s="185"/>
      <c r="F99" s="185"/>
      <c r="G99" s="135"/>
      <c r="H99" s="135"/>
      <c r="I99" s="185"/>
      <c r="J99" s="185"/>
      <c r="K99" s="185"/>
      <c r="L99" s="185"/>
      <c r="M99" s="185"/>
      <c r="N99" s="185"/>
      <c r="O99" s="150"/>
      <c r="P99" s="132"/>
      <c r="Q99" s="354"/>
      <c r="R99" s="302"/>
      <c r="S99" s="33"/>
      <c r="T99" s="33"/>
      <c r="U99" s="33"/>
      <c r="V99" s="33"/>
    </row>
    <row r="100" spans="1:38" ht="26" hidden="1" outlineLevel="1">
      <c r="A100" s="365" t="str">
        <f>(Lähtötiedot!$B$5&amp;"     "&amp;B100)</f>
        <v>Toimija 2     toimija 2 vaate 4</v>
      </c>
      <c r="B100" s="177" t="s">
        <v>263</v>
      </c>
      <c r="C100" s="156" t="s">
        <v>265</v>
      </c>
      <c r="D100" s="157">
        <f>(VLOOKUP(B100,Lähtötiedot!$C$3:$Q$36,15,0)/VLOOKUP(B100,Lähtötiedot!$C$3:$Q$36,10,0))</f>
        <v>25.266055045871564</v>
      </c>
      <c r="E100" s="182"/>
      <c r="F100" s="183"/>
      <c r="G100" s="183"/>
      <c r="H100" s="183"/>
      <c r="I100" s="183"/>
      <c r="J100" s="158"/>
      <c r="K100" s="177"/>
      <c r="L100" s="177"/>
      <c r="M100" s="177"/>
      <c r="N100" s="177"/>
      <c r="O100" s="177"/>
      <c r="P100" s="367" t="str">
        <f>($B$14)</f>
        <v>YHTEENSÄ (€ / käyttökerta)</v>
      </c>
      <c r="Q100" s="351" t="str">
        <f>($G$13)</f>
        <v>€ / vuosi</v>
      </c>
      <c r="R100" s="302"/>
      <c r="S100" s="186"/>
      <c r="T100" s="186"/>
      <c r="U100" s="186"/>
      <c r="V100" s="187"/>
      <c r="Y100" s="101"/>
      <c r="Z100" s="101"/>
      <c r="AA100" s="101"/>
      <c r="AB100" s="101"/>
      <c r="AC100" s="101"/>
      <c r="AD100" s="101"/>
      <c r="AE100" s="101"/>
      <c r="AF100" s="101"/>
      <c r="AG100" s="366"/>
    </row>
    <row r="101" spans="1:38" ht="26" hidden="1" outlineLevel="1">
      <c r="A101" s="302"/>
      <c r="B101" s="119" t="s">
        <v>266</v>
      </c>
      <c r="C101" s="99" t="s">
        <v>267</v>
      </c>
      <c r="D101" s="119" t="s">
        <v>258</v>
      </c>
      <c r="E101" s="119"/>
      <c r="F101" s="119"/>
      <c r="G101" s="119"/>
      <c r="H101" s="119"/>
      <c r="I101" s="119"/>
      <c r="J101" s="99"/>
      <c r="K101" s="119"/>
      <c r="L101" s="119"/>
      <c r="M101" s="119"/>
      <c r="N101" s="119"/>
      <c r="O101" s="95" t="s">
        <v>200</v>
      </c>
      <c r="P101" s="302"/>
      <c r="Q101" s="302"/>
      <c r="R101" s="302"/>
      <c r="S101" s="155"/>
      <c r="T101" s="155"/>
      <c r="U101" s="155"/>
      <c r="V101" s="95"/>
      <c r="Y101" s="30"/>
      <c r="Z101" s="30"/>
      <c r="AA101" s="30"/>
      <c r="AB101" s="30"/>
      <c r="AC101" s="30"/>
      <c r="AD101" s="1"/>
      <c r="AE101" s="30"/>
      <c r="AF101" s="1"/>
      <c r="AG101" s="302"/>
    </row>
    <row r="102" spans="1:38" ht="14" hidden="1" outlineLevel="1">
      <c r="A102" s="22" t="str">
        <f>('Palveluntarjoajien lähtötiedot'!A8)</f>
        <v>PESULA 1</v>
      </c>
      <c r="B102" s="148">
        <f>(VLOOKUP(A102,'Lähtötiedot - kustannukset'!$B$77:$F$80,5,0))*(VLOOKUP(B100,Lähtötiedot!$C$3:$F$13,4,0))</f>
        <v>0</v>
      </c>
      <c r="C102" s="163">
        <f>(VLOOKUP("*"&amp;B100&amp;"*",'Lähtötiedot - kustannukset'!$C$82:$F$86,4,0))</f>
        <v>0</v>
      </c>
      <c r="D102" s="148">
        <f>(VLOOKUP(A102,'Lähtötiedot - kustannukset'!$B$77:$F$80,5,0))*(VLOOKUP(B100,Lähtötiedot!$C$3:$F$13,4,0))</f>
        <v>0</v>
      </c>
      <c r="E102" s="164"/>
      <c r="F102" s="164"/>
      <c r="G102" s="163"/>
      <c r="H102" s="163"/>
      <c r="I102" s="164"/>
      <c r="J102" s="164"/>
      <c r="K102" s="164"/>
      <c r="L102" s="164"/>
      <c r="M102" s="164"/>
      <c r="N102" s="164"/>
      <c r="O102" s="180">
        <f>SUM(B102:L102)</f>
        <v>0</v>
      </c>
      <c r="P102" s="132">
        <f>(O102)</f>
        <v>0</v>
      </c>
      <c r="Q102" s="354">
        <f>(P102*D100)</f>
        <v>0</v>
      </c>
      <c r="R102" s="302"/>
      <c r="S102" s="181"/>
      <c r="T102" s="181"/>
      <c r="U102" s="181"/>
      <c r="V102" s="188"/>
      <c r="Y102" s="189"/>
      <c r="Z102" s="189"/>
      <c r="AA102" s="190"/>
      <c r="AB102" s="190"/>
      <c r="AC102" s="189"/>
      <c r="AD102" s="189"/>
      <c r="AE102" s="189"/>
      <c r="AF102" s="181"/>
      <c r="AG102" s="191"/>
    </row>
    <row r="103" spans="1:38" ht="14" hidden="1" outlineLevel="1">
      <c r="A103" s="22" t="str">
        <f>('Palveluntarjoajien lähtötiedot'!A9)</f>
        <v>PESULA 2</v>
      </c>
      <c r="B103" s="148">
        <f>(VLOOKUP(A103,'Lähtötiedot - kustannukset'!$B$77:$F$80,5,0))*(VLOOKUP(B100,Lähtötiedot!$C$3:$F$13,4,0))</f>
        <v>0</v>
      </c>
      <c r="C103" s="163">
        <f>(VLOOKUP("*"&amp;B100&amp;"*",'Lähtötiedot - kustannukset'!$C$88:$F$92,4,0))</f>
        <v>0</v>
      </c>
      <c r="D103" s="148">
        <f>(VLOOKUP(A103,'Lähtötiedot - kustannukset'!$B$77:$F$80,5,0))*(VLOOKUP(B100,Lähtötiedot!$C$3:$F$13,4,0))</f>
        <v>0</v>
      </c>
      <c r="E103" s="164"/>
      <c r="F103" s="164"/>
      <c r="G103" s="163"/>
      <c r="H103" s="163"/>
      <c r="I103" s="164"/>
      <c r="J103" s="164"/>
      <c r="K103" s="164"/>
      <c r="L103" s="164"/>
      <c r="M103" s="164"/>
      <c r="N103" s="164"/>
      <c r="O103" s="180">
        <f>SUM(B103:L103)</f>
        <v>0</v>
      </c>
      <c r="P103" s="132">
        <f>(O103)</f>
        <v>0</v>
      </c>
      <c r="Q103" s="354">
        <f>(P103*D100)</f>
        <v>0</v>
      </c>
      <c r="R103" s="302"/>
      <c r="S103" s="181"/>
      <c r="T103" s="181"/>
      <c r="U103" s="181"/>
      <c r="V103" s="188"/>
      <c r="Y103" s="189"/>
      <c r="Z103" s="189"/>
      <c r="AA103" s="190"/>
      <c r="AB103" s="190"/>
      <c r="AC103" s="189"/>
      <c r="AD103" s="189"/>
      <c r="AE103" s="189"/>
      <c r="AF103" s="181"/>
      <c r="AG103" s="191"/>
    </row>
    <row r="104" spans="1:38" ht="14" hidden="1" outlineLevel="1">
      <c r="A104" s="22" t="str">
        <f>('Palveluntarjoajien lähtötiedot'!A10)</f>
        <v>PESULA 3</v>
      </c>
      <c r="B104" s="148">
        <f>(VLOOKUP(A104,'Lähtötiedot - kustannukset'!$B$77:$F$80,5,0))*(VLOOKUP(B100,Lähtötiedot!$C$3:$F$13,4,0))</f>
        <v>0</v>
      </c>
      <c r="C104" s="163">
        <f>(VLOOKUP("*"&amp;B100&amp;"*",'Lähtötiedot - kustannukset'!$C$94:$F$98,4,0))</f>
        <v>0</v>
      </c>
      <c r="D104" s="148">
        <f>(VLOOKUP(A104,'Lähtötiedot - kustannukset'!$B$77:$F$80,5,0))*(VLOOKUP(B100,Lähtötiedot!$C$3:$F$13,4,0))</f>
        <v>0</v>
      </c>
      <c r="E104" s="164"/>
      <c r="F104" s="164"/>
      <c r="G104" s="163"/>
      <c r="H104" s="163"/>
      <c r="I104" s="164"/>
      <c r="J104" s="164"/>
      <c r="K104" s="164"/>
      <c r="L104" s="164"/>
      <c r="M104" s="164"/>
      <c r="N104" s="164"/>
      <c r="O104" s="180">
        <f>SUM(B104:L104)</f>
        <v>0</v>
      </c>
      <c r="P104" s="132">
        <f>(O104)</f>
        <v>0</v>
      </c>
      <c r="Q104" s="354">
        <f>(P104*D100)</f>
        <v>0</v>
      </c>
      <c r="R104" s="302"/>
      <c r="S104" s="181"/>
      <c r="T104" s="181"/>
      <c r="U104" s="181"/>
      <c r="V104" s="188"/>
      <c r="Y104" s="189"/>
      <c r="Z104" s="189"/>
      <c r="AA104" s="190"/>
      <c r="AB104" s="190"/>
      <c r="AC104" s="189"/>
      <c r="AD104" s="189"/>
      <c r="AE104" s="189"/>
      <c r="AF104" s="181"/>
      <c r="AG104" s="191"/>
    </row>
    <row r="105" spans="1:38" ht="14" hidden="1" outlineLevel="1">
      <c r="A105" s="22">
        <f>('Palveluntarjoajien lähtötiedot'!A11)</f>
        <v>0</v>
      </c>
      <c r="B105" s="184"/>
      <c r="C105" s="184"/>
      <c r="D105" s="184"/>
      <c r="E105" s="185"/>
      <c r="F105" s="185"/>
      <c r="G105" s="135"/>
      <c r="H105" s="135"/>
      <c r="I105" s="185"/>
      <c r="J105" s="185"/>
      <c r="K105" s="185"/>
      <c r="L105" s="185"/>
      <c r="M105" s="185"/>
      <c r="N105" s="185"/>
      <c r="O105" s="150"/>
      <c r="P105" s="132"/>
      <c r="Q105" s="354"/>
      <c r="R105" s="302"/>
      <c r="S105" s="181"/>
      <c r="T105" s="181"/>
      <c r="U105" s="181"/>
      <c r="V105" s="188"/>
      <c r="Y105" s="189"/>
      <c r="Z105" s="189"/>
      <c r="AA105" s="190"/>
      <c r="AB105" s="190"/>
      <c r="AC105" s="189"/>
      <c r="AD105" s="189"/>
      <c r="AE105" s="189"/>
      <c r="AF105" s="181"/>
      <c r="AG105" s="191"/>
    </row>
    <row r="106" spans="1:38" ht="26" hidden="1" outlineLevel="1">
      <c r="A106" s="365" t="str">
        <f>(Lähtötiedot!$B$5&amp;"     "&amp;B106)</f>
        <v>Toimija 2     toimija 2 vaate 5</v>
      </c>
      <c r="B106" s="177" t="s">
        <v>264</v>
      </c>
      <c r="C106" s="156" t="s">
        <v>265</v>
      </c>
      <c r="D106" s="157">
        <f>(VLOOKUP(B106,Lähtötiedot!$C$3:$Q$36,15,0)/VLOOKUP(B106,Lähtötiedot!$C$3:$Q$36,10,0))</f>
        <v>25.266055045871564</v>
      </c>
      <c r="E106" s="182"/>
      <c r="F106" s="183"/>
      <c r="G106" s="183"/>
      <c r="H106" s="183"/>
      <c r="I106" s="183"/>
      <c r="J106" s="158"/>
      <c r="K106" s="177"/>
      <c r="L106" s="177"/>
      <c r="M106" s="177"/>
      <c r="N106" s="177"/>
      <c r="O106" s="177"/>
      <c r="P106" s="367" t="str">
        <f>($B$14)</f>
        <v>YHTEENSÄ (€ / käyttökerta)</v>
      </c>
      <c r="Q106" s="351" t="str">
        <f>($G$13)</f>
        <v>€ / vuosi</v>
      </c>
      <c r="R106" s="302"/>
      <c r="S106" s="179"/>
      <c r="T106" s="179"/>
      <c r="U106" s="179"/>
      <c r="V106" s="179"/>
    </row>
    <row r="107" spans="1:38" ht="26" hidden="1" outlineLevel="1">
      <c r="A107" s="302"/>
      <c r="B107" s="119" t="s">
        <v>266</v>
      </c>
      <c r="C107" s="99" t="s">
        <v>267</v>
      </c>
      <c r="D107" s="119" t="s">
        <v>258</v>
      </c>
      <c r="E107" s="119"/>
      <c r="F107" s="119"/>
      <c r="G107" s="119"/>
      <c r="H107" s="119"/>
      <c r="I107" s="119"/>
      <c r="J107" s="99"/>
      <c r="K107" s="119"/>
      <c r="L107" s="119"/>
      <c r="M107" s="119"/>
      <c r="N107" s="119"/>
      <c r="O107" s="95" t="s">
        <v>200</v>
      </c>
      <c r="P107" s="302"/>
      <c r="Q107" s="302"/>
      <c r="R107" s="302"/>
      <c r="S107" s="33"/>
      <c r="T107" s="33"/>
      <c r="U107" s="33"/>
      <c r="V107" s="33"/>
    </row>
    <row r="108" spans="1:38" ht="13" hidden="1" outlineLevel="1">
      <c r="A108" s="22" t="str">
        <f>('Palveluntarjoajien lähtötiedot'!A8)</f>
        <v>PESULA 1</v>
      </c>
      <c r="B108" s="148">
        <f>(VLOOKUP(A108,'Lähtötiedot - kustannukset'!$B$77:$F$80,5,0))*(VLOOKUP(B106,Lähtötiedot!$C$3:$F$13,4,0))</f>
        <v>0</v>
      </c>
      <c r="C108" s="163">
        <f>(VLOOKUP("*"&amp;B106&amp;"*",'Lähtötiedot - kustannukset'!$C$82:$F$86,4,0))</f>
        <v>0</v>
      </c>
      <c r="D108" s="148">
        <f>(VLOOKUP(A108,'Lähtötiedot - kustannukset'!$B$77:$F$80,5,0))*(VLOOKUP(B106,Lähtötiedot!$C$3:$F$13,4,0))</f>
        <v>0</v>
      </c>
      <c r="E108" s="164"/>
      <c r="F108" s="164"/>
      <c r="G108" s="163"/>
      <c r="H108" s="163"/>
      <c r="I108" s="164"/>
      <c r="J108" s="164"/>
      <c r="K108" s="164"/>
      <c r="L108" s="164"/>
      <c r="M108" s="164"/>
      <c r="N108" s="164"/>
      <c r="O108" s="180">
        <f>SUM(B108:L108)</f>
        <v>0</v>
      </c>
      <c r="P108" s="132">
        <f>(O108)</f>
        <v>0</v>
      </c>
      <c r="Q108" s="354">
        <f>(P108*D106)</f>
        <v>0</v>
      </c>
      <c r="R108" s="302"/>
      <c r="S108" s="33"/>
      <c r="T108" s="33"/>
      <c r="U108" s="33"/>
      <c r="V108" s="33"/>
    </row>
    <row r="109" spans="1:38" ht="13" hidden="1" outlineLevel="1">
      <c r="A109" s="22" t="str">
        <f>('Palveluntarjoajien lähtötiedot'!A9)</f>
        <v>PESULA 2</v>
      </c>
      <c r="B109" s="148">
        <f>(VLOOKUP(A109,'Lähtötiedot - kustannukset'!$B$77:$F$80,5,0))*(VLOOKUP(B106,Lähtötiedot!$C$3:$F$13,4,0))</f>
        <v>0</v>
      </c>
      <c r="C109" s="163">
        <f>(VLOOKUP("*"&amp;B106&amp;"*",'Lähtötiedot - kustannukset'!$C$88:$F$92,4,0))</f>
        <v>0</v>
      </c>
      <c r="D109" s="148">
        <f>(VLOOKUP(A109,'Lähtötiedot - kustannukset'!$B$77:$F$80,5,0))*(VLOOKUP(B106,Lähtötiedot!$C$3:$F$13,4,0))</f>
        <v>0</v>
      </c>
      <c r="E109" s="164"/>
      <c r="F109" s="164"/>
      <c r="G109" s="163"/>
      <c r="H109" s="163"/>
      <c r="I109" s="164"/>
      <c r="J109" s="164"/>
      <c r="K109" s="164"/>
      <c r="L109" s="164"/>
      <c r="M109" s="164"/>
      <c r="N109" s="164"/>
      <c r="O109" s="180">
        <f>SUM(B109:L109)</f>
        <v>0</v>
      </c>
      <c r="P109" s="132">
        <f>(O109)</f>
        <v>0</v>
      </c>
      <c r="Q109" s="354">
        <f>(P109*D106)</f>
        <v>0</v>
      </c>
      <c r="R109" s="302"/>
      <c r="S109" s="33"/>
      <c r="T109" s="33"/>
      <c r="U109" s="33"/>
      <c r="V109" s="33"/>
    </row>
    <row r="110" spans="1:38" ht="13" hidden="1" outlineLevel="1">
      <c r="A110" s="22" t="str">
        <f>('Palveluntarjoajien lähtötiedot'!A10)</f>
        <v>PESULA 3</v>
      </c>
      <c r="B110" s="148">
        <f>(VLOOKUP(A110,'Lähtötiedot - kustannukset'!$B$77:$F$80,5,0))*(VLOOKUP(B106,Lähtötiedot!$C$3:$F$13,4,0))</f>
        <v>0</v>
      </c>
      <c r="C110" s="163">
        <f>(VLOOKUP("*"&amp;B106&amp;"*",'Lähtötiedot - kustannukset'!$C$94:$F$98,4,0))</f>
        <v>0</v>
      </c>
      <c r="D110" s="148">
        <f>(VLOOKUP(A110,'Lähtötiedot - kustannukset'!$B$77:$F$80,5,0))*(VLOOKUP(B106,Lähtötiedot!$C$3:$F$13,4,0))</f>
        <v>0</v>
      </c>
      <c r="E110" s="164"/>
      <c r="F110" s="164"/>
      <c r="G110" s="163"/>
      <c r="H110" s="163"/>
      <c r="I110" s="164"/>
      <c r="J110" s="164"/>
      <c r="K110" s="164"/>
      <c r="L110" s="164"/>
      <c r="M110" s="164"/>
      <c r="N110" s="164"/>
      <c r="O110" s="180">
        <f>SUM(B110:L110)</f>
        <v>0</v>
      </c>
      <c r="P110" s="132">
        <f>(O110)</f>
        <v>0</v>
      </c>
      <c r="Q110" s="354">
        <f>(P110*D106)</f>
        <v>0</v>
      </c>
      <c r="R110" s="302"/>
      <c r="S110" s="33"/>
      <c r="T110" s="33"/>
      <c r="U110" s="33"/>
      <c r="V110" s="33"/>
    </row>
    <row r="111" spans="1:38" ht="14" hidden="1" outlineLevel="1">
      <c r="A111" s="22">
        <f>('Palveluntarjoajien lähtötiedot'!A11)</f>
        <v>0</v>
      </c>
      <c r="B111" s="184"/>
      <c r="C111" s="184"/>
      <c r="D111" s="184"/>
      <c r="E111" s="185"/>
      <c r="F111" s="185"/>
      <c r="G111" s="135"/>
      <c r="H111" s="135"/>
      <c r="I111" s="185"/>
      <c r="J111" s="185"/>
      <c r="K111" s="185"/>
      <c r="L111" s="185"/>
      <c r="M111" s="185"/>
      <c r="N111" s="185"/>
      <c r="O111" s="150"/>
      <c r="P111" s="132"/>
      <c r="Q111" s="354"/>
      <c r="R111" s="302"/>
      <c r="S111" s="33"/>
      <c r="T111" s="33"/>
      <c r="U111" s="33"/>
      <c r="V111" s="33"/>
    </row>
    <row r="112" spans="1:38" ht="14">
      <c r="A112" s="173"/>
      <c r="B112" s="174"/>
      <c r="C112" s="170"/>
      <c r="D112" s="98"/>
      <c r="E112" s="98"/>
      <c r="F112" s="99"/>
      <c r="G112" s="99"/>
      <c r="H112" s="151"/>
      <c r="I112" s="151"/>
      <c r="J112" s="151"/>
      <c r="K112" s="171"/>
      <c r="L112" s="171"/>
      <c r="M112" s="171"/>
      <c r="N112" s="171"/>
      <c r="O112" s="33"/>
      <c r="P112" s="176"/>
      <c r="Q112" s="136"/>
      <c r="R112" s="184"/>
      <c r="S112" s="33"/>
      <c r="T112" s="33"/>
      <c r="U112" s="33"/>
      <c r="V112" s="33"/>
      <c r="Y112" s="184"/>
      <c r="Z112" s="184"/>
      <c r="AA112" s="184"/>
      <c r="AB112" s="184"/>
      <c r="AC112" s="184"/>
      <c r="AD112" s="184"/>
      <c r="AE112" s="184"/>
      <c r="AF112" s="184"/>
      <c r="AG112" s="184"/>
      <c r="AH112" s="184"/>
      <c r="AI112" s="184"/>
      <c r="AJ112" s="184"/>
      <c r="AK112" s="184"/>
      <c r="AL112" s="184"/>
    </row>
    <row r="113" spans="1:38" ht="26" collapsed="1">
      <c r="A113" s="173" t="str">
        <f>(Lähtötiedot!B5&amp;", skenaario: tuotteet ostettuna, pesu pesulassa")</f>
        <v>Toimija 2, skenaario: tuotteet ostettuna, pesu pesulassa</v>
      </c>
      <c r="B113" s="174"/>
      <c r="C113" s="170"/>
      <c r="D113" s="98"/>
      <c r="E113" s="98"/>
      <c r="F113" s="99"/>
      <c r="G113" s="99"/>
      <c r="H113" s="151"/>
      <c r="I113" s="151"/>
      <c r="J113" s="151"/>
      <c r="K113" s="171"/>
      <c r="L113" s="171"/>
      <c r="M113" s="171"/>
      <c r="N113" s="171"/>
      <c r="O113" s="33"/>
      <c r="P113" s="176"/>
      <c r="Q113" s="136"/>
      <c r="R113" s="184"/>
      <c r="S113" s="33"/>
      <c r="T113" s="33"/>
      <c r="U113" s="33"/>
      <c r="V113" s="33"/>
      <c r="Y113" s="184"/>
      <c r="Z113" s="184"/>
      <c r="AA113" s="184"/>
      <c r="AB113" s="184"/>
      <c r="AC113" s="184"/>
      <c r="AD113" s="184"/>
      <c r="AE113" s="184"/>
      <c r="AF113" s="184"/>
      <c r="AG113" s="184"/>
      <c r="AH113" s="184"/>
      <c r="AI113" s="184"/>
      <c r="AJ113" s="184"/>
      <c r="AK113" s="184"/>
      <c r="AL113" s="184"/>
    </row>
    <row r="114" spans="1:38" ht="26" hidden="1" outlineLevel="1">
      <c r="A114" s="365" t="str">
        <f>(Lähtötiedot!$B$5&amp;"      "&amp;B114)</f>
        <v>Toimija 2      toimija 2 vaate 1</v>
      </c>
      <c r="B114" s="177" t="s">
        <v>260</v>
      </c>
      <c r="C114" s="156" t="str">
        <f>($M$13)</f>
        <v>Pesukerrat vuoden aikana</v>
      </c>
      <c r="D114" s="157">
        <f>(VLOOKUP(B114,Lähtötiedot!$C$3:$Q$36,15,0)/VLOOKUP(B114,Lähtötiedot!$C$3:$Q$36,10,0))</f>
        <v>202.12844036697251</v>
      </c>
      <c r="E114" s="177"/>
      <c r="F114" s="178"/>
      <c r="G114" s="178"/>
      <c r="H114" s="178"/>
      <c r="I114" s="156"/>
      <c r="J114" s="156"/>
      <c r="K114" s="177"/>
      <c r="L114" s="177"/>
      <c r="M114" s="177"/>
      <c r="N114" s="177"/>
      <c r="O114" s="351" t="str">
        <f>($E$14)</f>
        <v>€ / pesuväli</v>
      </c>
      <c r="P114" s="302"/>
      <c r="Q114" s="351" t="str">
        <f>($G$13)</f>
        <v>€ / vuosi</v>
      </c>
      <c r="R114" s="302"/>
      <c r="S114" s="352" t="str">
        <f>($K$13)</f>
        <v>Kustannuksen muodostuminen</v>
      </c>
      <c r="T114" s="302"/>
      <c r="U114" s="192"/>
      <c r="V114" s="192"/>
      <c r="Y114" s="184"/>
      <c r="Z114" s="184"/>
      <c r="AA114" s="184"/>
      <c r="AB114" s="184"/>
      <c r="AC114" s="184"/>
      <c r="AD114" s="184"/>
      <c r="AE114" s="184"/>
      <c r="AF114" s="184"/>
      <c r="AG114" s="184"/>
      <c r="AH114" s="184"/>
      <c r="AI114" s="184"/>
      <c r="AJ114" s="184"/>
      <c r="AK114" s="184"/>
      <c r="AL114" s="184"/>
    </row>
    <row r="115" spans="1:38" ht="26" hidden="1" outlineLevel="1">
      <c r="A115" s="302"/>
      <c r="B115" s="99" t="s">
        <v>244</v>
      </c>
      <c r="C115" s="119" t="s">
        <v>258</v>
      </c>
      <c r="D115" s="119" t="s">
        <v>259</v>
      </c>
      <c r="E115" s="119" t="s">
        <v>266</v>
      </c>
      <c r="F115" s="119"/>
      <c r="G115" s="119"/>
      <c r="H115" s="119"/>
      <c r="I115" s="119"/>
      <c r="J115" s="99"/>
      <c r="K115" s="119"/>
      <c r="L115" s="119"/>
      <c r="M115" s="119"/>
      <c r="N115" s="120" t="str">
        <f>($N$13)</f>
        <v>Jätehuolto</v>
      </c>
      <c r="O115" s="353" t="s">
        <v>200</v>
      </c>
      <c r="P115" s="302"/>
      <c r="Q115" s="353" t="s">
        <v>200</v>
      </c>
      <c r="R115" s="302"/>
      <c r="S115" s="162" t="str">
        <f>($J$14)</f>
        <v>HANKINTA</v>
      </c>
      <c r="T115" s="162" t="str">
        <f>($K$14)</f>
        <v>HUOLTO</v>
      </c>
      <c r="U115" s="192"/>
      <c r="V115" s="192"/>
      <c r="Y115" s="184"/>
      <c r="Z115" s="184"/>
      <c r="AA115" s="184"/>
      <c r="AB115" s="184"/>
      <c r="AC115" s="184"/>
      <c r="AD115" s="184"/>
      <c r="AE115" s="184"/>
      <c r="AF115" s="184"/>
      <c r="AG115" s="184"/>
      <c r="AH115" s="184"/>
      <c r="AI115" s="184"/>
      <c r="AJ115" s="184"/>
      <c r="AK115" s="184"/>
      <c r="AL115" s="184"/>
    </row>
    <row r="116" spans="1:38" ht="12.5" hidden="1" outlineLevel="1">
      <c r="A116" s="22" t="str">
        <f>('Palveluntarjoajien lähtötiedot'!A8)</f>
        <v>PESULA 1</v>
      </c>
      <c r="B116" s="135">
        <f>(VLOOKUP(B114,'Lähtötiedot - kustannukset'!$C$2:$F$14,4,0)/(VLOOKUP(B114,Lähtötiedot!$C$3:$Q$13,15,0)))</f>
        <v>9.8946986201888139E-3</v>
      </c>
      <c r="C116" s="135">
        <f>((VLOOKUP(A116,'Lähtötiedot - kustannukset'!$B$77:$G$80,5,0)*(VLOOKUP(B114,Lähtötiedot!$C$3:$G$13,4,0))))</f>
        <v>0</v>
      </c>
      <c r="D116" s="135">
        <f>(VLOOKUP("*"&amp;B114&amp;"*",'Lähtötiedot - kustannukset'!$C$30:$F$44,4,0))</f>
        <v>1.45</v>
      </c>
      <c r="E116" s="135">
        <f>((VLOOKUP(A116,'Lähtötiedot - kustannukset'!$B$77:$G$80,5,0)*(VLOOKUP(B114,Lähtötiedot!$C$3:$G$13,4,0))))</f>
        <v>0</v>
      </c>
      <c r="F116" s="135"/>
      <c r="G116" s="135"/>
      <c r="H116" s="135"/>
      <c r="I116" s="135"/>
      <c r="J116" s="135"/>
      <c r="K116" s="135"/>
      <c r="L116" s="135"/>
      <c r="M116" s="135"/>
      <c r="N116" s="135">
        <f>(VLOOKUP(B114,Lähtötiedot!$C$3:$F$13,4,0)*('Lähtötiedot - kustannukset'!$F$73))</f>
        <v>0</v>
      </c>
      <c r="O116" s="355">
        <f>SUM(B116:L116)</f>
        <v>1.4598946986201888</v>
      </c>
      <c r="P116" s="302"/>
      <c r="Q116" s="354">
        <f>(O116*D114)</f>
        <v>295.08623853211014</v>
      </c>
      <c r="R116" s="302"/>
      <c r="S116" s="134">
        <f>(B116/O116)</f>
        <v>6.7776796706918189E-3</v>
      </c>
      <c r="T116" s="134">
        <f>(SUM(C116:L116)/O116)</f>
        <v>0.99322232032930813</v>
      </c>
      <c r="U116" s="192"/>
      <c r="V116" s="192"/>
      <c r="Y116" s="184"/>
      <c r="Z116" s="184"/>
      <c r="AA116" s="184"/>
      <c r="AB116" s="184"/>
      <c r="AC116" s="184"/>
      <c r="AD116" s="184"/>
      <c r="AE116" s="184"/>
      <c r="AF116" s="184"/>
      <c r="AG116" s="184"/>
      <c r="AH116" s="184"/>
      <c r="AI116" s="184"/>
      <c r="AJ116" s="184"/>
      <c r="AK116" s="184"/>
      <c r="AL116" s="184"/>
    </row>
    <row r="117" spans="1:38" ht="12.5" hidden="1" outlineLevel="1">
      <c r="A117" s="22" t="str">
        <f>('Palveluntarjoajien lähtötiedot'!A9)</f>
        <v>PESULA 2</v>
      </c>
      <c r="B117" s="135">
        <f>(VLOOKUP(B114,'Lähtötiedot - kustannukset'!$C$2:$F$14,4,0)/(VLOOKUP(B114,Lähtötiedot!$C$3:$Q$13,15,0)))</f>
        <v>9.8946986201888139E-3</v>
      </c>
      <c r="C117" s="135">
        <f>((VLOOKUP(A117,'Lähtötiedot - kustannukset'!$B$77:$G$80,5,0)*(VLOOKUP(B114,Lähtötiedot!$C$3:$G$13,4,0))))</f>
        <v>0</v>
      </c>
      <c r="D117" s="135">
        <f>(VLOOKUP("*"&amp;B114&amp;"*",'Lähtötiedot - kustannukset'!$C$44:$G$56,4,0))</f>
        <v>0</v>
      </c>
      <c r="E117" s="135">
        <f>((VLOOKUP(A117,'Lähtötiedot - kustannukset'!$B$77:$G$80,5,0)*(VLOOKUP(B114,Lähtötiedot!$C$3:$G$13,4,0))))</f>
        <v>0</v>
      </c>
      <c r="F117" s="135"/>
      <c r="G117" s="135"/>
      <c r="H117" s="135"/>
      <c r="I117" s="135"/>
      <c r="J117" s="135"/>
      <c r="K117" s="135"/>
      <c r="L117" s="135"/>
      <c r="M117" s="135"/>
      <c r="N117" s="135">
        <f>(VLOOKUP(B114,Lähtötiedot!$C$3:$F$13,4,0)*('Lähtötiedot - kustannukset'!$F$73))</f>
        <v>0</v>
      </c>
      <c r="O117" s="355">
        <f>SUM(B117:L117)</f>
        <v>9.8946986201888139E-3</v>
      </c>
      <c r="P117" s="302"/>
      <c r="Q117" s="354">
        <f>(O117*D114)</f>
        <v>1.9999999999999998</v>
      </c>
      <c r="R117" s="302"/>
      <c r="S117" s="134">
        <f>(B117/O117)</f>
        <v>1</v>
      </c>
      <c r="T117" s="134">
        <f>(SUM(C117:L117)/O117)</f>
        <v>0</v>
      </c>
      <c r="U117" s="192"/>
      <c r="V117" s="192"/>
      <c r="Y117" s="184"/>
      <c r="Z117" s="184"/>
      <c r="AA117" s="184"/>
      <c r="AB117" s="184"/>
      <c r="AC117" s="184"/>
      <c r="AD117" s="184"/>
      <c r="AE117" s="184"/>
      <c r="AF117" s="184"/>
      <c r="AG117" s="184"/>
      <c r="AH117" s="184"/>
      <c r="AI117" s="184"/>
      <c r="AJ117" s="184"/>
      <c r="AK117" s="184"/>
      <c r="AL117" s="184"/>
    </row>
    <row r="118" spans="1:38" ht="12.5" hidden="1" outlineLevel="1">
      <c r="A118" s="22" t="str">
        <f>('Palveluntarjoajien lähtötiedot'!A10)</f>
        <v>PESULA 3</v>
      </c>
      <c r="B118" s="135">
        <f>(VLOOKUP(B114,'Lähtötiedot - kustannukset'!$C$2:$F$14,4,0)/(VLOOKUP(B114,Lähtötiedot!$C$3:$Q$13,15,0)))</f>
        <v>9.8946986201888139E-3</v>
      </c>
      <c r="C118" s="135">
        <f>((VLOOKUP(A118,'Lähtötiedot - kustannukset'!$B$77:$G$80,5,0)*(VLOOKUP(B114,Lähtötiedot!$C$3:$G$13,4,0))))</f>
        <v>0</v>
      </c>
      <c r="D118" s="135">
        <f>(VLOOKUP("*"&amp;B114&amp;"*",'Lähtötiedot - kustannukset'!$C$58:$F$70,4,0))</f>
        <v>0</v>
      </c>
      <c r="E118" s="135">
        <f>((VLOOKUP(A118,'Lähtötiedot - kustannukset'!$B$77:$G$80,5,0)*(VLOOKUP(B114,Lähtötiedot!$C$3:$G$13,4,0))))</f>
        <v>0</v>
      </c>
      <c r="F118" s="135"/>
      <c r="G118" s="135"/>
      <c r="H118" s="135"/>
      <c r="I118" s="135"/>
      <c r="J118" s="135"/>
      <c r="K118" s="135"/>
      <c r="L118" s="135"/>
      <c r="M118" s="135"/>
      <c r="N118" s="135">
        <f>(VLOOKUP(B114,Lähtötiedot!$C$3:$F$13,4,0)*('Lähtötiedot - kustannukset'!$F$73))</f>
        <v>0</v>
      </c>
      <c r="O118" s="355">
        <f>SUM(B118:L118)</f>
        <v>9.8946986201888139E-3</v>
      </c>
      <c r="P118" s="302"/>
      <c r="Q118" s="354">
        <f>(O118*D114)</f>
        <v>1.9999999999999998</v>
      </c>
      <c r="R118" s="302"/>
      <c r="S118" s="134">
        <f>(B118/O118)</f>
        <v>1</v>
      </c>
      <c r="T118" s="134">
        <f>(SUM(C118:L118)/O118)</f>
        <v>0</v>
      </c>
      <c r="U118" s="192"/>
      <c r="V118" s="192"/>
      <c r="Y118" s="184"/>
      <c r="Z118" s="184"/>
      <c r="AA118" s="184"/>
      <c r="AB118" s="184"/>
      <c r="AC118" s="184"/>
      <c r="AD118" s="184"/>
      <c r="AE118" s="184"/>
      <c r="AF118" s="184"/>
      <c r="AG118" s="184"/>
      <c r="AH118" s="184"/>
      <c r="AI118" s="184"/>
      <c r="AJ118" s="184"/>
      <c r="AK118" s="184"/>
      <c r="AL118" s="184"/>
    </row>
    <row r="119" spans="1:38" ht="14" hidden="1" outlineLevel="1">
      <c r="A119" s="150"/>
      <c r="B119" s="174"/>
      <c r="C119" s="170"/>
      <c r="D119" s="98"/>
      <c r="E119" s="98"/>
      <c r="F119" s="99"/>
      <c r="G119" s="99"/>
      <c r="H119" s="151"/>
      <c r="I119" s="151"/>
      <c r="J119" s="151"/>
      <c r="K119" s="171"/>
      <c r="L119" s="171"/>
      <c r="M119" s="171"/>
      <c r="N119" s="171"/>
      <c r="O119" s="33"/>
      <c r="P119" s="176"/>
      <c r="Q119" s="136"/>
      <c r="R119" s="184"/>
      <c r="S119" s="33"/>
      <c r="T119" s="33"/>
      <c r="U119" s="192"/>
      <c r="V119" s="192"/>
      <c r="Y119" s="184"/>
      <c r="Z119" s="184"/>
      <c r="AA119" s="184"/>
      <c r="AB119" s="184"/>
      <c r="AC119" s="184"/>
      <c r="AD119" s="184"/>
      <c r="AE119" s="184"/>
      <c r="AF119" s="184"/>
      <c r="AG119" s="184"/>
      <c r="AH119" s="184"/>
      <c r="AI119" s="184"/>
      <c r="AJ119" s="184"/>
      <c r="AK119" s="184"/>
      <c r="AL119" s="184"/>
    </row>
    <row r="120" spans="1:38" ht="26" hidden="1" outlineLevel="1">
      <c r="A120" s="365" t="str">
        <f>(Lähtötiedot!$B$5&amp;"      "&amp;B120)</f>
        <v>Toimija 2      toimija 2 vaate 2</v>
      </c>
      <c r="B120" s="177" t="s">
        <v>261</v>
      </c>
      <c r="C120" s="156" t="str">
        <f>($M$13)</f>
        <v>Pesukerrat vuoden aikana</v>
      </c>
      <c r="D120" s="157">
        <f>(VLOOKUP(B120,Lähtötiedot!$C$3:$Q$36,15,0)/VLOOKUP(B120,Lähtötiedot!$C$3:$Q$36,10,0))</f>
        <v>202.12844036697251</v>
      </c>
      <c r="E120" s="182"/>
      <c r="F120" s="183"/>
      <c r="G120" s="183"/>
      <c r="H120" s="183"/>
      <c r="I120" s="158"/>
      <c r="J120" s="158"/>
      <c r="K120" s="177"/>
      <c r="L120" s="177"/>
      <c r="M120" s="177"/>
      <c r="N120" s="177"/>
      <c r="O120" s="351" t="str">
        <f>($E$14)</f>
        <v>€ / pesuväli</v>
      </c>
      <c r="P120" s="302"/>
      <c r="Q120" s="351" t="str">
        <f>($G$13)</f>
        <v>€ / vuosi</v>
      </c>
      <c r="R120" s="302"/>
      <c r="S120" s="352" t="str">
        <f>($K$13)</f>
        <v>Kustannuksen muodostuminen</v>
      </c>
      <c r="T120" s="302"/>
      <c r="U120" s="192"/>
      <c r="V120" s="192"/>
      <c r="Y120" s="184"/>
      <c r="Z120" s="184"/>
      <c r="AA120" s="184"/>
      <c r="AB120" s="184"/>
      <c r="AC120" s="184"/>
      <c r="AD120" s="184"/>
      <c r="AE120" s="184"/>
      <c r="AF120" s="184"/>
      <c r="AG120" s="184"/>
      <c r="AH120" s="184"/>
      <c r="AI120" s="184"/>
      <c r="AJ120" s="184"/>
      <c r="AK120" s="184"/>
      <c r="AL120" s="184"/>
    </row>
    <row r="121" spans="1:38" ht="26" hidden="1" outlineLevel="1">
      <c r="A121" s="302"/>
      <c r="B121" s="99" t="s">
        <v>244</v>
      </c>
      <c r="C121" s="119" t="s">
        <v>258</v>
      </c>
      <c r="D121" s="119" t="s">
        <v>259</v>
      </c>
      <c r="E121" s="119" t="s">
        <v>266</v>
      </c>
      <c r="F121" s="119"/>
      <c r="G121" s="119"/>
      <c r="H121" s="119"/>
      <c r="I121" s="119"/>
      <c r="J121" s="99"/>
      <c r="K121" s="119"/>
      <c r="L121" s="119"/>
      <c r="M121" s="119"/>
      <c r="N121" s="120" t="str">
        <f>($N$13)</f>
        <v>Jätehuolto</v>
      </c>
      <c r="O121" s="353" t="s">
        <v>200</v>
      </c>
      <c r="P121" s="302"/>
      <c r="Q121" s="353" t="s">
        <v>200</v>
      </c>
      <c r="R121" s="302"/>
      <c r="S121" s="162" t="str">
        <f>($J$14)</f>
        <v>HANKINTA</v>
      </c>
      <c r="T121" s="162" t="str">
        <f>($K$14)</f>
        <v>HUOLTO</v>
      </c>
      <c r="U121" s="192"/>
      <c r="V121" s="192"/>
      <c r="Y121" s="184"/>
      <c r="Z121" s="184"/>
      <c r="AA121" s="184"/>
      <c r="AB121" s="184"/>
      <c r="AC121" s="184"/>
      <c r="AD121" s="184"/>
      <c r="AE121" s="184"/>
      <c r="AF121" s="184"/>
      <c r="AG121" s="184"/>
      <c r="AH121" s="184"/>
      <c r="AI121" s="184"/>
      <c r="AJ121" s="184"/>
      <c r="AK121" s="184"/>
      <c r="AL121" s="184"/>
    </row>
    <row r="122" spans="1:38" ht="14" hidden="1" outlineLevel="1">
      <c r="A122" s="165" t="str">
        <f>('Palveluntarjoajien lähtötiedot'!A8)</f>
        <v>PESULA 1</v>
      </c>
      <c r="B122" s="135">
        <f>(VLOOKUP(B120,'Lähtötiedot - kustannukset'!$C$2:$F$14,4,0)/(VLOOKUP(B120,Lähtötiedot!$C$3:$Q$13,15,0)))</f>
        <v>1.6491164366981359E-3</v>
      </c>
      <c r="C122" s="135">
        <f>((VLOOKUP(A122,'Lähtötiedot - kustannukset'!$B$77:$G$80,5,0)*(VLOOKUP(B120,Lähtötiedot!$C$3:$G$13,4,0))))</f>
        <v>0</v>
      </c>
      <c r="D122" s="135">
        <f>(VLOOKUP("*"&amp;B120&amp;"*",'Lähtötiedot - kustannukset'!$C$30:$F$44,4,0))</f>
        <v>1.45</v>
      </c>
      <c r="E122" s="135">
        <f>((VLOOKUP(A122,'Lähtötiedot - kustannukset'!$B$77:$G$80,5,0)*(VLOOKUP(B120,Lähtötiedot!$C$3:$G$13,4,0))))</f>
        <v>0</v>
      </c>
      <c r="F122" s="135"/>
      <c r="G122" s="135"/>
      <c r="H122" s="135"/>
      <c r="I122" s="135"/>
      <c r="J122" s="135"/>
      <c r="K122" s="135"/>
      <c r="L122" s="135"/>
      <c r="M122" s="135"/>
      <c r="N122" s="135">
        <f>(VLOOKUP(B120,Lähtötiedot!$C$3:$F$13,4,0)*('Lähtötiedot - kustannukset'!$F$73))</f>
        <v>0</v>
      </c>
      <c r="O122" s="355">
        <f>SUM(B122:L122)</f>
        <v>1.451649116436698</v>
      </c>
      <c r="P122" s="302"/>
      <c r="Q122" s="354">
        <f>(O122*D120)</f>
        <v>293.41957186544346</v>
      </c>
      <c r="R122" s="302"/>
      <c r="S122" s="134">
        <f>(B122/O122)</f>
        <v>1.1360296493316186E-3</v>
      </c>
      <c r="T122" s="134">
        <f>(SUM(C122:L122)/O122)</f>
        <v>0.99886397035066843</v>
      </c>
      <c r="U122" s="192"/>
      <c r="V122" s="192"/>
      <c r="Y122" s="184"/>
      <c r="Z122" s="184"/>
      <c r="AA122" s="184"/>
      <c r="AB122" s="184"/>
      <c r="AC122" s="184"/>
      <c r="AD122" s="184"/>
      <c r="AE122" s="184"/>
      <c r="AF122" s="184"/>
      <c r="AG122" s="184"/>
      <c r="AH122" s="184"/>
      <c r="AI122" s="184"/>
      <c r="AJ122" s="184"/>
      <c r="AK122" s="184"/>
      <c r="AL122" s="184"/>
    </row>
    <row r="123" spans="1:38" ht="14" hidden="1" outlineLevel="1">
      <c r="A123" s="165" t="str">
        <f>('Palveluntarjoajien lähtötiedot'!A9)</f>
        <v>PESULA 2</v>
      </c>
      <c r="B123" s="135">
        <f>(VLOOKUP(B120,'Lähtötiedot - kustannukset'!$C$2:$F$14,4,0)/(VLOOKUP(B120,Lähtötiedot!$C$3:$Q$13,15,0)))</f>
        <v>1.6491164366981359E-3</v>
      </c>
      <c r="C123" s="135">
        <f>((VLOOKUP(A123,'Lähtötiedot - kustannukset'!$B$77:$G$80,5,0)*(VLOOKUP(B120,Lähtötiedot!$C$3:$G$13,4,0))))</f>
        <v>0</v>
      </c>
      <c r="D123" s="135">
        <f>(VLOOKUP("*"&amp;B120&amp;"*",'Lähtötiedot - kustannukset'!$C$44:$G$56,4,0))</f>
        <v>0</v>
      </c>
      <c r="E123" s="135">
        <f>((VLOOKUP(A123,'Lähtötiedot - kustannukset'!$B$77:$G$80,5,0)*(VLOOKUP(B120,Lähtötiedot!$C$3:$G$13,4,0))))</f>
        <v>0</v>
      </c>
      <c r="F123" s="135"/>
      <c r="G123" s="135"/>
      <c r="H123" s="135"/>
      <c r="I123" s="135"/>
      <c r="J123" s="135"/>
      <c r="K123" s="135"/>
      <c r="L123" s="135"/>
      <c r="M123" s="135"/>
      <c r="N123" s="135">
        <f>(VLOOKUP(B120,Lähtötiedot!$C$3:$F$13,4,0)*('Lähtötiedot - kustannukset'!$F$73))</f>
        <v>0</v>
      </c>
      <c r="O123" s="355">
        <f>SUM(B123:L123)</f>
        <v>1.6491164366981359E-3</v>
      </c>
      <c r="P123" s="302"/>
      <c r="Q123" s="354">
        <f>(O123*D120)</f>
        <v>0.33333333333333337</v>
      </c>
      <c r="R123" s="302"/>
      <c r="S123" s="134">
        <f>(B123/O123)</f>
        <v>1</v>
      </c>
      <c r="T123" s="134">
        <f>(SUM(C123:L123)/O123)</f>
        <v>0</v>
      </c>
      <c r="U123" s="192"/>
      <c r="V123" s="192"/>
      <c r="Y123" s="184"/>
      <c r="Z123" s="184"/>
      <c r="AA123" s="184"/>
      <c r="AB123" s="184"/>
      <c r="AC123" s="184"/>
      <c r="AD123" s="184"/>
      <c r="AE123" s="184"/>
      <c r="AF123" s="184"/>
      <c r="AG123" s="184"/>
      <c r="AH123" s="184"/>
      <c r="AI123" s="184"/>
      <c r="AJ123" s="184"/>
      <c r="AK123" s="184"/>
      <c r="AL123" s="184"/>
    </row>
    <row r="124" spans="1:38" ht="14" hidden="1" outlineLevel="1">
      <c r="A124" s="165" t="str">
        <f>('Palveluntarjoajien lähtötiedot'!A10)</f>
        <v>PESULA 3</v>
      </c>
      <c r="B124" s="135">
        <f>(VLOOKUP(B120,'Lähtötiedot - kustannukset'!$C$2:$F$14,4,0)/(VLOOKUP(B120,Lähtötiedot!$C$3:$Q$13,15,0)))</f>
        <v>1.6491164366981359E-3</v>
      </c>
      <c r="C124" s="135">
        <f>((VLOOKUP(A124,'Lähtötiedot - kustannukset'!$B$77:$G$80,5,0)*(VLOOKUP(B120,Lähtötiedot!$C$3:$G$13,4,0))))</f>
        <v>0</v>
      </c>
      <c r="D124" s="135">
        <f>(VLOOKUP("*"&amp;B120&amp;"*",'Lähtötiedot - kustannukset'!$C$58:$F$70,4,0))</f>
        <v>0</v>
      </c>
      <c r="E124" s="135">
        <f>((VLOOKUP(A124,'Lähtötiedot - kustannukset'!$B$77:$G$80,5,0)*(VLOOKUP(B120,Lähtötiedot!$C$3:$G$13,4,0))))</f>
        <v>0</v>
      </c>
      <c r="F124" s="135"/>
      <c r="G124" s="135"/>
      <c r="H124" s="135"/>
      <c r="I124" s="135"/>
      <c r="J124" s="135"/>
      <c r="K124" s="135"/>
      <c r="L124" s="135"/>
      <c r="M124" s="135"/>
      <c r="N124" s="135">
        <f>(VLOOKUP(B120,Lähtötiedot!$C$3:$F$13,4,0)*('Lähtötiedot - kustannukset'!$F$73))</f>
        <v>0</v>
      </c>
      <c r="O124" s="355">
        <f>SUM(B124:L124)</f>
        <v>1.6491164366981359E-3</v>
      </c>
      <c r="P124" s="302"/>
      <c r="Q124" s="354">
        <f>(O124*D120)</f>
        <v>0.33333333333333337</v>
      </c>
      <c r="R124" s="302"/>
      <c r="S124" s="134">
        <f>(B124/O124)</f>
        <v>1</v>
      </c>
      <c r="T124" s="134">
        <f>(SUM(C124:L124)/O124)</f>
        <v>0</v>
      </c>
      <c r="U124" s="192"/>
      <c r="V124" s="192"/>
      <c r="Y124" s="184"/>
      <c r="Z124" s="184"/>
      <c r="AA124" s="184"/>
      <c r="AB124" s="184"/>
      <c r="AC124" s="184"/>
      <c r="AD124" s="184"/>
      <c r="AE124" s="184"/>
      <c r="AF124" s="184"/>
      <c r="AG124" s="184"/>
      <c r="AH124" s="184"/>
      <c r="AI124" s="184"/>
      <c r="AJ124" s="184"/>
      <c r="AK124" s="184"/>
      <c r="AL124" s="184"/>
    </row>
    <row r="125" spans="1:38" ht="14" hidden="1" outlineLevel="1">
      <c r="A125" s="150"/>
      <c r="B125" s="174"/>
      <c r="C125" s="170"/>
      <c r="D125" s="98"/>
      <c r="E125" s="98"/>
      <c r="F125" s="99"/>
      <c r="G125" s="99"/>
      <c r="H125" s="151"/>
      <c r="I125" s="151"/>
      <c r="J125" s="151"/>
      <c r="K125" s="171"/>
      <c r="L125" s="171"/>
      <c r="M125" s="171"/>
      <c r="N125" s="171"/>
      <c r="O125" s="33"/>
      <c r="P125" s="176"/>
      <c r="Q125" s="136"/>
      <c r="R125" s="184"/>
      <c r="S125" s="33"/>
      <c r="T125" s="33"/>
      <c r="U125" s="192"/>
      <c r="V125" s="192"/>
      <c r="Y125" s="184"/>
      <c r="Z125" s="184"/>
      <c r="AA125" s="184"/>
      <c r="AB125" s="184"/>
      <c r="AC125" s="184"/>
      <c r="AD125" s="184"/>
      <c r="AE125" s="184"/>
      <c r="AF125" s="184"/>
      <c r="AG125" s="184"/>
      <c r="AH125" s="184"/>
      <c r="AI125" s="184"/>
      <c r="AJ125" s="184"/>
      <c r="AK125" s="184"/>
      <c r="AL125" s="184"/>
    </row>
    <row r="126" spans="1:38" ht="26" hidden="1" outlineLevel="1">
      <c r="A126" s="365" t="str">
        <f>(Lähtötiedot!$B$5&amp;"      "&amp;B126)</f>
        <v>Toimija 2      toimija 2 vaate 3</v>
      </c>
      <c r="B126" s="177" t="s">
        <v>262</v>
      </c>
      <c r="C126" s="156" t="str">
        <f>($M$13)</f>
        <v>Pesukerrat vuoden aikana</v>
      </c>
      <c r="D126" s="157">
        <f>(VLOOKUP(B126,Lähtötiedot!$C$3:$Q$36,15,0)/VLOOKUP(B126,Lähtötiedot!$C$3:$Q$36,10,0))</f>
        <v>101.06422018348626</v>
      </c>
      <c r="E126" s="182"/>
      <c r="F126" s="183"/>
      <c r="G126" s="183"/>
      <c r="H126" s="183"/>
      <c r="I126" s="158"/>
      <c r="J126" s="158"/>
      <c r="K126" s="182"/>
      <c r="L126" s="177"/>
      <c r="M126" s="177"/>
      <c r="N126" s="177"/>
      <c r="O126" s="351" t="str">
        <f>($E$14)</f>
        <v>€ / pesuväli</v>
      </c>
      <c r="P126" s="302"/>
      <c r="Q126" s="351" t="str">
        <f>($G$13)</f>
        <v>€ / vuosi</v>
      </c>
      <c r="R126" s="302"/>
      <c r="S126" s="352" t="str">
        <f>($K$13)</f>
        <v>Kustannuksen muodostuminen</v>
      </c>
      <c r="T126" s="302"/>
      <c r="U126" s="192"/>
      <c r="V126" s="192"/>
      <c r="Y126" s="184"/>
      <c r="Z126" s="184"/>
      <c r="AA126" s="184"/>
      <c r="AB126" s="184"/>
      <c r="AC126" s="184"/>
      <c r="AD126" s="184"/>
      <c r="AE126" s="184"/>
      <c r="AF126" s="184"/>
      <c r="AG126" s="184"/>
      <c r="AH126" s="184"/>
      <c r="AI126" s="184"/>
      <c r="AJ126" s="184"/>
      <c r="AK126" s="184"/>
      <c r="AL126" s="184"/>
    </row>
    <row r="127" spans="1:38" ht="26" hidden="1" outlineLevel="1">
      <c r="A127" s="302"/>
      <c r="B127" s="99" t="s">
        <v>244</v>
      </c>
      <c r="C127" s="119" t="s">
        <v>258</v>
      </c>
      <c r="D127" s="119" t="s">
        <v>259</v>
      </c>
      <c r="E127" s="119" t="s">
        <v>266</v>
      </c>
      <c r="F127" s="119"/>
      <c r="G127" s="119"/>
      <c r="H127" s="119"/>
      <c r="I127" s="119"/>
      <c r="J127" s="99"/>
      <c r="K127" s="119"/>
      <c r="L127" s="119"/>
      <c r="M127" s="119"/>
      <c r="N127" s="120" t="str">
        <f>($N$13)</f>
        <v>Jätehuolto</v>
      </c>
      <c r="O127" s="353" t="s">
        <v>200</v>
      </c>
      <c r="P127" s="302"/>
      <c r="Q127" s="353" t="s">
        <v>200</v>
      </c>
      <c r="R127" s="302"/>
      <c r="S127" s="162" t="str">
        <f>($J$14)</f>
        <v>HANKINTA</v>
      </c>
      <c r="T127" s="162" t="str">
        <f>($K$14)</f>
        <v>HUOLTO</v>
      </c>
      <c r="U127" s="192"/>
      <c r="V127" s="192"/>
      <c r="Y127" s="184"/>
      <c r="Z127" s="184"/>
      <c r="AA127" s="184"/>
      <c r="AB127" s="184"/>
      <c r="AC127" s="184"/>
      <c r="AD127" s="184"/>
      <c r="AE127" s="184"/>
      <c r="AF127" s="184"/>
      <c r="AG127" s="184"/>
      <c r="AH127" s="184"/>
      <c r="AI127" s="184"/>
      <c r="AJ127" s="184"/>
      <c r="AK127" s="184"/>
      <c r="AL127" s="184"/>
    </row>
    <row r="128" spans="1:38" ht="14" hidden="1" outlineLevel="1">
      <c r="A128" s="165" t="str">
        <f>('Palveluntarjoajien lähtötiedot'!A8)</f>
        <v>PESULA 1</v>
      </c>
      <c r="B128" s="135">
        <f>(VLOOKUP(B126,'Lähtötiedot - kustannukset'!$C$2:$F$14,4,0)/(VLOOKUP(B126,Lähtötiedot!$C$3:$Q$13,15,0)))</f>
        <v>3.2982328733962719E-3</v>
      </c>
      <c r="C128" s="135">
        <f>((VLOOKUP(A128,'Lähtötiedot - kustannukset'!$B$77:$G$80,5,0)*(VLOOKUP(B126,Lähtötiedot!$C$3:$G$13,4,0))))</f>
        <v>0</v>
      </c>
      <c r="D128" s="135">
        <f>(VLOOKUP("*"&amp;B126&amp;"*",'Lähtötiedot - kustannukset'!$C$30:$F$44,4,0))</f>
        <v>1.45</v>
      </c>
      <c r="E128" s="135">
        <f>((VLOOKUP(A128,'Lähtötiedot - kustannukset'!$B$77:$G$80,5,0)*(VLOOKUP(B126,Lähtötiedot!$C$3:$G$13,4,0))))</f>
        <v>0</v>
      </c>
      <c r="F128" s="135"/>
      <c r="G128" s="135"/>
      <c r="H128" s="135"/>
      <c r="I128" s="135"/>
      <c r="J128" s="135"/>
      <c r="K128" s="135"/>
      <c r="L128" s="135"/>
      <c r="M128" s="135"/>
      <c r="N128" s="135">
        <f>(VLOOKUP(B126,Lähtötiedot!$C$3:$F$13,4,0)*('Lähtötiedot - kustannukset'!$F$73))</f>
        <v>0</v>
      </c>
      <c r="O128" s="355">
        <f>SUM(B128:L128)</f>
        <v>1.4532982328733963</v>
      </c>
      <c r="P128" s="302"/>
      <c r="Q128" s="354">
        <f>(O128*D126)</f>
        <v>146.87645259938841</v>
      </c>
      <c r="R128" s="302"/>
      <c r="S128" s="134">
        <f>(B128/O128)</f>
        <v>2.2694811008440803E-3</v>
      </c>
      <c r="T128" s="134">
        <f>(SUM(C128:L128)/O128)</f>
        <v>0.99773051889915587</v>
      </c>
      <c r="U128" s="192"/>
      <c r="V128" s="192"/>
      <c r="Y128" s="184"/>
      <c r="Z128" s="184"/>
      <c r="AA128" s="184"/>
      <c r="AB128" s="184"/>
      <c r="AC128" s="184"/>
      <c r="AD128" s="184"/>
      <c r="AE128" s="184"/>
      <c r="AF128" s="184"/>
      <c r="AG128" s="184"/>
      <c r="AH128" s="184"/>
      <c r="AI128" s="184"/>
      <c r="AJ128" s="184"/>
      <c r="AK128" s="184"/>
      <c r="AL128" s="184"/>
    </row>
    <row r="129" spans="1:38" ht="12.5" hidden="1" outlineLevel="1">
      <c r="A129" s="150" t="str">
        <f>('Palveluntarjoajien lähtötiedot'!A9)</f>
        <v>PESULA 2</v>
      </c>
      <c r="B129" s="135">
        <f>(VLOOKUP(B126,'Lähtötiedot - kustannukset'!$C$2:$F$14,4,0)/(VLOOKUP(B126,Lähtötiedot!$C$3:$Q$13,15,0)))</f>
        <v>3.2982328733962719E-3</v>
      </c>
      <c r="C129" s="135">
        <f>((VLOOKUP(A129,'Lähtötiedot - kustannukset'!$B$77:$G$80,5,0)*(VLOOKUP(B126,Lähtötiedot!$C$3:$G$13,4,0))))</f>
        <v>0</v>
      </c>
      <c r="D129" s="135">
        <f>(VLOOKUP("*"&amp;B126&amp;"*",'Lähtötiedot - kustannukset'!$C$44:$G$56,4,0))</f>
        <v>0</v>
      </c>
      <c r="E129" s="135">
        <f>((VLOOKUP(A129,'Lähtötiedot - kustannukset'!$B$77:$G$80,5,0)*(VLOOKUP(B126,Lähtötiedot!$C$3:$G$13,4,0))))</f>
        <v>0</v>
      </c>
      <c r="F129" s="135"/>
      <c r="G129" s="135"/>
      <c r="H129" s="135"/>
      <c r="I129" s="135"/>
      <c r="J129" s="135"/>
      <c r="K129" s="135"/>
      <c r="L129" s="135"/>
      <c r="M129" s="135"/>
      <c r="N129" s="135">
        <f>(VLOOKUP(B126,Lähtötiedot!$C$3:$F$13,4,0)*('Lähtötiedot - kustannukset'!$F$73))</f>
        <v>0</v>
      </c>
      <c r="O129" s="355">
        <f>SUM(B129:L129)</f>
        <v>3.2982328733962719E-3</v>
      </c>
      <c r="P129" s="302"/>
      <c r="Q129" s="354">
        <f>(O129*D126)</f>
        <v>0.33333333333333337</v>
      </c>
      <c r="R129" s="302"/>
      <c r="S129" s="134">
        <f>(B129/O129)</f>
        <v>1</v>
      </c>
      <c r="T129" s="134">
        <f>(SUM(C129:L129)/O129)</f>
        <v>0</v>
      </c>
      <c r="U129" s="192"/>
      <c r="V129" s="192"/>
      <c r="Y129" s="184"/>
      <c r="Z129" s="184"/>
      <c r="AA129" s="184"/>
      <c r="AB129" s="184"/>
      <c r="AC129" s="184"/>
      <c r="AD129" s="184"/>
      <c r="AE129" s="184"/>
      <c r="AF129" s="184"/>
      <c r="AG129" s="184"/>
      <c r="AH129" s="184"/>
      <c r="AI129" s="184"/>
      <c r="AJ129" s="184"/>
      <c r="AK129" s="184"/>
      <c r="AL129" s="184"/>
    </row>
    <row r="130" spans="1:38" ht="12.5" hidden="1" outlineLevel="1">
      <c r="A130" s="150" t="str">
        <f>('Palveluntarjoajien lähtötiedot'!A10)</f>
        <v>PESULA 3</v>
      </c>
      <c r="B130" s="135">
        <f>(VLOOKUP(B126,'Lähtötiedot - kustannukset'!$C$2:$F$14,4,0)/(VLOOKUP(B126,Lähtötiedot!$C$3:$Q$13,15,0)))</f>
        <v>3.2982328733962719E-3</v>
      </c>
      <c r="C130" s="135">
        <f>((VLOOKUP(A130,'Lähtötiedot - kustannukset'!$B$77:$G$80,5,0)*(VLOOKUP(B126,Lähtötiedot!$C$3:$G$13,4,0))))</f>
        <v>0</v>
      </c>
      <c r="D130" s="135">
        <f>(VLOOKUP("*"&amp;B126&amp;"*",'Lähtötiedot - kustannukset'!$C$58:$F$70,4,0))</f>
        <v>0</v>
      </c>
      <c r="E130" s="135">
        <f>((VLOOKUP(A130,'Lähtötiedot - kustannukset'!$B$77:$G$80,5,0)*(VLOOKUP(B126,Lähtötiedot!$C$3:$G$13,4,0))))</f>
        <v>0</v>
      </c>
      <c r="F130" s="135"/>
      <c r="G130" s="135"/>
      <c r="H130" s="135"/>
      <c r="I130" s="135"/>
      <c r="J130" s="135"/>
      <c r="K130" s="135"/>
      <c r="L130" s="135"/>
      <c r="M130" s="135"/>
      <c r="N130" s="135">
        <f>(VLOOKUP(B126,Lähtötiedot!$C$3:$F$13,4,0)*('Lähtötiedot - kustannukset'!$F$73))</f>
        <v>0</v>
      </c>
      <c r="O130" s="355">
        <f>SUM(B130:L130)</f>
        <v>3.2982328733962719E-3</v>
      </c>
      <c r="P130" s="302"/>
      <c r="Q130" s="354">
        <f>(O130*D126)</f>
        <v>0.33333333333333337</v>
      </c>
      <c r="R130" s="302"/>
      <c r="S130" s="134">
        <f>(B130/O130)</f>
        <v>1</v>
      </c>
      <c r="T130" s="134">
        <f>(SUM(C130:L130)/O130)</f>
        <v>0</v>
      </c>
      <c r="U130" s="192"/>
      <c r="V130" s="192"/>
      <c r="Y130" s="184"/>
      <c r="Z130" s="184"/>
      <c r="AA130" s="184"/>
      <c r="AB130" s="184"/>
      <c r="AC130" s="184"/>
      <c r="AD130" s="184"/>
      <c r="AE130" s="184"/>
      <c r="AF130" s="184"/>
      <c r="AG130" s="184"/>
      <c r="AH130" s="184"/>
      <c r="AI130" s="184"/>
      <c r="AJ130" s="184"/>
      <c r="AK130" s="184"/>
      <c r="AL130" s="184"/>
    </row>
    <row r="131" spans="1:38" ht="14" hidden="1" outlineLevel="1">
      <c r="A131" s="150"/>
      <c r="B131" s="174"/>
      <c r="C131" s="170"/>
      <c r="D131" s="98"/>
      <c r="E131" s="98"/>
      <c r="F131" s="99"/>
      <c r="G131" s="99"/>
      <c r="H131" s="151"/>
      <c r="I131" s="151"/>
      <c r="J131" s="151"/>
      <c r="K131" s="171"/>
      <c r="L131" s="171"/>
      <c r="M131" s="171"/>
      <c r="N131" s="171"/>
      <c r="O131" s="33"/>
      <c r="P131" s="176"/>
      <c r="Q131" s="136"/>
      <c r="R131" s="184"/>
      <c r="S131" s="33"/>
      <c r="T131" s="33"/>
      <c r="U131" s="192"/>
      <c r="V131" s="192"/>
      <c r="Y131" s="184"/>
      <c r="Z131" s="184"/>
      <c r="AA131" s="184"/>
      <c r="AB131" s="184"/>
      <c r="AC131" s="184"/>
      <c r="AD131" s="184"/>
      <c r="AE131" s="184"/>
      <c r="AF131" s="184"/>
      <c r="AG131" s="184"/>
      <c r="AH131" s="184"/>
      <c r="AI131" s="184"/>
      <c r="AJ131" s="184"/>
      <c r="AK131" s="184"/>
      <c r="AL131" s="184"/>
    </row>
    <row r="132" spans="1:38" ht="26" hidden="1" outlineLevel="1">
      <c r="A132" s="365" t="str">
        <f>(Lähtötiedot!$B$5&amp;"      "&amp;B132)</f>
        <v>Toimija 2      toimija 2 vaate 4</v>
      </c>
      <c r="B132" s="177" t="s">
        <v>263</v>
      </c>
      <c r="C132" s="156" t="str">
        <f>($M$13)</f>
        <v>Pesukerrat vuoden aikana</v>
      </c>
      <c r="D132" s="157">
        <f>(VLOOKUP(B132,Lähtötiedot!$C$3:$Q$36,15,0)/VLOOKUP(B132,Lähtötiedot!$C$3:$Q$36,10,0))</f>
        <v>25.266055045871564</v>
      </c>
      <c r="E132" s="182"/>
      <c r="F132" s="183"/>
      <c r="G132" s="183"/>
      <c r="H132" s="183"/>
      <c r="I132" s="158"/>
      <c r="J132" s="158"/>
      <c r="K132" s="182"/>
      <c r="L132" s="177"/>
      <c r="M132" s="177"/>
      <c r="N132" s="177"/>
      <c r="O132" s="351" t="str">
        <f>($E$14)</f>
        <v>€ / pesuväli</v>
      </c>
      <c r="P132" s="302"/>
      <c r="Q132" s="351" t="str">
        <f>($G$13)</f>
        <v>€ / vuosi</v>
      </c>
      <c r="R132" s="302"/>
      <c r="S132" s="352" t="str">
        <f>($K$13)</f>
        <v>Kustannuksen muodostuminen</v>
      </c>
      <c r="T132" s="302"/>
      <c r="U132" s="192"/>
      <c r="V132" s="192"/>
      <c r="Y132" s="184"/>
      <c r="Z132" s="184"/>
      <c r="AA132" s="184"/>
      <c r="AB132" s="184"/>
      <c r="AC132" s="184"/>
      <c r="AD132" s="184"/>
      <c r="AE132" s="184"/>
      <c r="AF132" s="184"/>
      <c r="AG132" s="184"/>
      <c r="AH132" s="184"/>
      <c r="AI132" s="184"/>
      <c r="AJ132" s="184"/>
      <c r="AK132" s="184"/>
      <c r="AL132" s="184"/>
    </row>
    <row r="133" spans="1:38" ht="26" hidden="1" outlineLevel="1">
      <c r="A133" s="302"/>
      <c r="B133" s="99" t="s">
        <v>244</v>
      </c>
      <c r="C133" s="119" t="s">
        <v>258</v>
      </c>
      <c r="D133" s="119" t="s">
        <v>259</v>
      </c>
      <c r="E133" s="119" t="s">
        <v>266</v>
      </c>
      <c r="F133" s="119"/>
      <c r="G133" s="119"/>
      <c r="H133" s="119"/>
      <c r="I133" s="119"/>
      <c r="J133" s="99"/>
      <c r="K133" s="119"/>
      <c r="L133" s="119"/>
      <c r="M133" s="119"/>
      <c r="N133" s="120" t="str">
        <f>($N$13)</f>
        <v>Jätehuolto</v>
      </c>
      <c r="O133" s="353" t="s">
        <v>200</v>
      </c>
      <c r="P133" s="302"/>
      <c r="Q133" s="353" t="s">
        <v>200</v>
      </c>
      <c r="R133" s="302"/>
      <c r="S133" s="162" t="str">
        <f>($J$14)</f>
        <v>HANKINTA</v>
      </c>
      <c r="T133" s="162" t="str">
        <f>($K$14)</f>
        <v>HUOLTO</v>
      </c>
      <c r="U133" s="192"/>
      <c r="V133" s="192"/>
    </row>
    <row r="134" spans="1:38" ht="14" hidden="1" outlineLevel="1">
      <c r="A134" s="165" t="str">
        <f>('Palveluntarjoajien lähtötiedot'!A8)</f>
        <v>PESULA 1</v>
      </c>
      <c r="B134" s="135">
        <f>(VLOOKUP(B132,'Lähtötiedot - kustannukset'!$C$2:$F$14,4,0)/(VLOOKUP(B132,Lähtötiedot!$C$3:$Q$13,15,0)))</f>
        <v>1.3192931493585087E-2</v>
      </c>
      <c r="C134" s="135">
        <f>((VLOOKUP(A134,'Lähtötiedot - kustannukset'!$B$77:$G$80,5,0)*(VLOOKUP(B132,Lähtötiedot!$C$3:$G$13,4,0))))</f>
        <v>0</v>
      </c>
      <c r="D134" s="135">
        <f>(VLOOKUP("*"&amp;B132&amp;"*",'Lähtötiedot - kustannukset'!$C$30:$F$44,4,0))</f>
        <v>0.67</v>
      </c>
      <c r="E134" s="135">
        <f>((VLOOKUP(A134,'Lähtötiedot - kustannukset'!$B$77:$G$80,5,0)*(VLOOKUP(B132,Lähtötiedot!$C$3:$G$13,4,0))))</f>
        <v>0</v>
      </c>
      <c r="F134" s="135"/>
      <c r="G134" s="135"/>
      <c r="H134" s="135"/>
      <c r="I134" s="135"/>
      <c r="J134" s="135"/>
      <c r="K134" s="135"/>
      <c r="L134" s="135"/>
      <c r="M134" s="135"/>
      <c r="N134" s="135">
        <f>(VLOOKUP(B132,Lähtötiedot!$C$3:$F$13,4,0)*('Lähtötiedot - kustannukset'!$F$73))</f>
        <v>0</v>
      </c>
      <c r="O134" s="355">
        <f>SUM(B134:L134)</f>
        <v>0.68319293149358518</v>
      </c>
      <c r="P134" s="302"/>
      <c r="Q134" s="354">
        <f>(O134*D132)</f>
        <v>17.261590214067283</v>
      </c>
      <c r="R134" s="302"/>
      <c r="S134" s="134">
        <f>(B134/O134)</f>
        <v>1.9310696708677761E-2</v>
      </c>
      <c r="T134" s="134">
        <f>(SUM(C134:L134)/O134)</f>
        <v>0.9806893032913222</v>
      </c>
      <c r="U134" s="192"/>
      <c r="V134" s="192"/>
    </row>
    <row r="135" spans="1:38" ht="14" hidden="1" outlineLevel="1">
      <c r="A135" s="165" t="str">
        <f>('Palveluntarjoajien lähtötiedot'!A9)</f>
        <v>PESULA 2</v>
      </c>
      <c r="B135" s="135">
        <f>(VLOOKUP(B132,'Lähtötiedot - kustannukset'!$C$2:$F$14,4,0)/(VLOOKUP(B132,Lähtötiedot!$C$3:$Q$13,15,0)))</f>
        <v>1.3192931493585087E-2</v>
      </c>
      <c r="C135" s="135">
        <f>((VLOOKUP(A135,'Lähtötiedot - kustannukset'!$B$77:$G$80,5,0)*(VLOOKUP(B132,Lähtötiedot!$C$3:$G$13,4,0))))</f>
        <v>0</v>
      </c>
      <c r="D135" s="135">
        <f>(VLOOKUP("*"&amp;B132&amp;"*",'Lähtötiedot - kustannukset'!$C$44:$G$56,4,0))</f>
        <v>0</v>
      </c>
      <c r="E135" s="135">
        <f>((VLOOKUP(A135,'Lähtötiedot - kustannukset'!$B$77:$G$80,5,0)*(VLOOKUP(B132,Lähtötiedot!$C$3:$G$13,4,0))))</f>
        <v>0</v>
      </c>
      <c r="F135" s="135"/>
      <c r="G135" s="135"/>
      <c r="H135" s="135"/>
      <c r="I135" s="135"/>
      <c r="J135" s="135"/>
      <c r="K135" s="135"/>
      <c r="L135" s="135"/>
      <c r="M135" s="135"/>
      <c r="N135" s="135">
        <f>(VLOOKUP(B132,Lähtötiedot!$C$3:$F$13,4,0)*('Lähtötiedot - kustannukset'!$F$73))</f>
        <v>0</v>
      </c>
      <c r="O135" s="355">
        <f>SUM(B135:L135)</f>
        <v>1.3192931493585087E-2</v>
      </c>
      <c r="P135" s="302"/>
      <c r="Q135" s="354">
        <f>(O135*D132)</f>
        <v>0.33333333333333337</v>
      </c>
      <c r="R135" s="302"/>
      <c r="S135" s="134">
        <f>(B135/O135)</f>
        <v>1</v>
      </c>
      <c r="T135" s="134">
        <f>(SUM(C135:L135)/O135)</f>
        <v>0</v>
      </c>
      <c r="U135" s="192"/>
      <c r="V135" s="192"/>
    </row>
    <row r="136" spans="1:38" ht="14" hidden="1" outlineLevel="1">
      <c r="A136" s="165" t="str">
        <f>('Palveluntarjoajien lähtötiedot'!A10)</f>
        <v>PESULA 3</v>
      </c>
      <c r="B136" s="135">
        <f>(VLOOKUP(B132,'Lähtötiedot - kustannukset'!$C$2:$F$14,4,0)/(VLOOKUP(B132,Lähtötiedot!$C$3:$Q$13,15,0)))</f>
        <v>1.3192931493585087E-2</v>
      </c>
      <c r="C136" s="135">
        <f>((VLOOKUP(A136,'Lähtötiedot - kustannukset'!$B$77:$G$80,5,0)*(VLOOKUP(B132,Lähtötiedot!$C$3:$G$13,4,0))))</f>
        <v>0</v>
      </c>
      <c r="D136" s="135">
        <f>(VLOOKUP("*"&amp;B132&amp;"*",'Lähtötiedot - kustannukset'!$C$58:$F$70,4,0))</f>
        <v>0</v>
      </c>
      <c r="E136" s="135">
        <f>((VLOOKUP(A136,'Lähtötiedot - kustannukset'!$B$77:$G$80,5,0)*(VLOOKUP(B132,Lähtötiedot!$C$3:$G$13,4,0))))</f>
        <v>0</v>
      </c>
      <c r="F136" s="135"/>
      <c r="G136" s="135"/>
      <c r="H136" s="135"/>
      <c r="I136" s="135"/>
      <c r="J136" s="135"/>
      <c r="K136" s="135"/>
      <c r="L136" s="135"/>
      <c r="M136" s="135"/>
      <c r="N136" s="135">
        <f>(VLOOKUP(B132,Lähtötiedot!$C$3:$F$13,4,0)*('Lähtötiedot - kustannukset'!$F$73))</f>
        <v>0</v>
      </c>
      <c r="O136" s="355">
        <f>SUM(B136:L136)</f>
        <v>1.3192931493585087E-2</v>
      </c>
      <c r="P136" s="302"/>
      <c r="Q136" s="354">
        <f>(O136*D132)</f>
        <v>0.33333333333333337</v>
      </c>
      <c r="R136" s="302"/>
      <c r="S136" s="134">
        <f>(B136/O136)</f>
        <v>1</v>
      </c>
      <c r="T136" s="134">
        <f>(SUM(C136:L136)/O136)</f>
        <v>0</v>
      </c>
      <c r="U136" s="192"/>
      <c r="V136" s="192"/>
    </row>
    <row r="137" spans="1:38" ht="14" hidden="1" outlineLevel="1">
      <c r="A137" s="16"/>
      <c r="B137" s="174"/>
      <c r="C137" s="170"/>
      <c r="D137" s="98"/>
      <c r="E137" s="98"/>
      <c r="F137" s="99"/>
      <c r="G137" s="99"/>
      <c r="H137" s="151"/>
      <c r="I137" s="151"/>
      <c r="J137" s="151"/>
      <c r="K137" s="171"/>
      <c r="L137" s="171"/>
      <c r="M137" s="171"/>
      <c r="N137" s="171"/>
      <c r="O137" s="33"/>
      <c r="P137" s="176"/>
      <c r="Q137" s="103"/>
      <c r="S137" s="33"/>
      <c r="T137" s="33"/>
      <c r="U137" s="192"/>
      <c r="V137" s="192"/>
    </row>
    <row r="138" spans="1:38" ht="26" hidden="1" outlineLevel="1">
      <c r="A138" s="365" t="str">
        <f>(Lähtötiedot!$B$5&amp;"      "&amp;B138)</f>
        <v>Toimija 2      toimija 2 vaate 5</v>
      </c>
      <c r="B138" s="177" t="s">
        <v>264</v>
      </c>
      <c r="C138" s="156" t="str">
        <f>($M$13)</f>
        <v>Pesukerrat vuoden aikana</v>
      </c>
      <c r="D138" s="157">
        <f>(VLOOKUP(B138,Lähtötiedot!$C$3:$Q$36,15,0)/VLOOKUP(B138,Lähtötiedot!$C$3:$Q$36,10,0))</f>
        <v>25.266055045871564</v>
      </c>
      <c r="E138" s="182"/>
      <c r="F138" s="183"/>
      <c r="G138" s="183"/>
      <c r="H138" s="183"/>
      <c r="I138" s="158"/>
      <c r="J138" s="158"/>
      <c r="K138" s="193"/>
      <c r="L138" s="194"/>
      <c r="M138" s="194"/>
      <c r="N138" s="194"/>
      <c r="O138" s="351" t="str">
        <f>($E$14)</f>
        <v>€ / pesuväli</v>
      </c>
      <c r="P138" s="302"/>
      <c r="Q138" s="351" t="str">
        <f>($G$13)</f>
        <v>€ / vuosi</v>
      </c>
      <c r="R138" s="302"/>
      <c r="S138" s="352" t="str">
        <f>($K$13)</f>
        <v>Kustannuksen muodostuminen</v>
      </c>
      <c r="T138" s="302"/>
      <c r="U138" s="192"/>
      <c r="V138" s="192"/>
    </row>
    <row r="139" spans="1:38" ht="26" hidden="1" outlineLevel="1">
      <c r="A139" s="302"/>
      <c r="B139" s="195" t="s">
        <v>244</v>
      </c>
      <c r="C139" s="120" t="s">
        <v>258</v>
      </c>
      <c r="D139" s="120" t="s">
        <v>259</v>
      </c>
      <c r="E139" s="120" t="s">
        <v>266</v>
      </c>
      <c r="F139" s="120"/>
      <c r="G139" s="120"/>
      <c r="H139" s="120"/>
      <c r="I139" s="120"/>
      <c r="J139" s="195"/>
      <c r="K139" s="120"/>
      <c r="L139" s="120"/>
      <c r="M139" s="120"/>
      <c r="N139" s="120" t="str">
        <f>($N$13)</f>
        <v>Jätehuolto</v>
      </c>
      <c r="O139" s="353" t="s">
        <v>200</v>
      </c>
      <c r="P139" s="302"/>
      <c r="Q139" s="353" t="s">
        <v>200</v>
      </c>
      <c r="R139" s="302"/>
      <c r="S139" s="162" t="str">
        <f>($J$14)</f>
        <v>HANKINTA</v>
      </c>
      <c r="T139" s="162" t="str">
        <f>($K$14)</f>
        <v>HUOLTO</v>
      </c>
      <c r="U139" s="33"/>
      <c r="V139" s="33"/>
    </row>
    <row r="140" spans="1:38" ht="14" hidden="1" outlineLevel="1">
      <c r="A140" s="165" t="str">
        <f>('Palveluntarjoajien lähtötiedot'!A8)</f>
        <v>PESULA 1</v>
      </c>
      <c r="B140" s="135">
        <f>(VLOOKUP(B138,'Lähtötiedot - kustannukset'!$C$2:$F$14,4,0)/(VLOOKUP(B138,Lähtötiedot!$C$3:$Q$13,15,0)))</f>
        <v>1.3192931493585087E-2</v>
      </c>
      <c r="C140" s="135">
        <f>((VLOOKUP(A140,'Lähtötiedot - kustannukset'!$B$77:$G$80,5,0)*(VLOOKUP(B138,Lähtötiedot!$C$3:$G$13,4,0))))</f>
        <v>0</v>
      </c>
      <c r="D140" s="135">
        <f>(VLOOKUP("*"&amp;B138&amp;"*",'Lähtötiedot - kustannukset'!$C$30:$F$44,4,0))</f>
        <v>1.45</v>
      </c>
      <c r="E140" s="135">
        <f>((VLOOKUP(A140,'Lähtötiedot - kustannukset'!$B$77:$G$80,5,0)*(VLOOKUP(B138,Lähtötiedot!$C$3:$G$13,4,0))))</f>
        <v>0</v>
      </c>
      <c r="F140" s="135"/>
      <c r="G140" s="135"/>
      <c r="H140" s="135"/>
      <c r="I140" s="135"/>
      <c r="J140" s="135"/>
      <c r="K140" s="135"/>
      <c r="L140" s="135"/>
      <c r="M140" s="135"/>
      <c r="N140" s="135">
        <f>(VLOOKUP(B138,Lähtötiedot!$C$3:$F$13,4,0)*('Lähtötiedot - kustannukset'!$F$73))</f>
        <v>0</v>
      </c>
      <c r="O140" s="355">
        <f>SUM(B140:L140)</f>
        <v>1.463192931493585</v>
      </c>
      <c r="P140" s="302"/>
      <c r="Q140" s="354">
        <f>(O140*D138)</f>
        <v>36.969113149847097</v>
      </c>
      <c r="R140" s="302"/>
      <c r="S140" s="134">
        <f>(B140/O140)</f>
        <v>9.0165358303898619E-3</v>
      </c>
      <c r="T140" s="134">
        <f>(SUM(C140:L140)/O140)</f>
        <v>0.99098346416961014</v>
      </c>
      <c r="U140" s="33"/>
      <c r="V140" s="33"/>
    </row>
    <row r="141" spans="1:38" ht="14" hidden="1" outlineLevel="1">
      <c r="A141" s="165" t="str">
        <f>('Palveluntarjoajien lähtötiedot'!A9)</f>
        <v>PESULA 2</v>
      </c>
      <c r="B141" s="135">
        <f>(VLOOKUP(B138,'Lähtötiedot - kustannukset'!$C$2:$F$14,4,0)/(VLOOKUP(B138,Lähtötiedot!$C$3:$Q$13,15,0)))</f>
        <v>1.3192931493585087E-2</v>
      </c>
      <c r="C141" s="135">
        <f>((VLOOKUP(A141,'Lähtötiedot - kustannukset'!$B$77:$G$80,5,0)*(VLOOKUP(B138,Lähtötiedot!$C$3:$G$13,4,0))))</f>
        <v>0</v>
      </c>
      <c r="D141" s="135">
        <f>(VLOOKUP("*"&amp;B138&amp;"*",'Lähtötiedot - kustannukset'!$C$44:$G$56,4,0))</f>
        <v>0</v>
      </c>
      <c r="E141" s="135">
        <f>((VLOOKUP(A141,'Lähtötiedot - kustannukset'!$B$77:$G$80,5,0)*(VLOOKUP(B138,Lähtötiedot!$C$3:$G$13,4,0))))</f>
        <v>0</v>
      </c>
      <c r="F141" s="135"/>
      <c r="G141" s="135"/>
      <c r="H141" s="135"/>
      <c r="I141" s="135"/>
      <c r="J141" s="135"/>
      <c r="K141" s="135"/>
      <c r="L141" s="135"/>
      <c r="M141" s="135"/>
      <c r="N141" s="135">
        <f>(VLOOKUP(B138,Lähtötiedot!$C$3:$F$13,4,0)*('Lähtötiedot - kustannukset'!$F$73))</f>
        <v>0</v>
      </c>
      <c r="O141" s="355">
        <f>SUM(B141:L141)</f>
        <v>1.3192931493585087E-2</v>
      </c>
      <c r="P141" s="302"/>
      <c r="Q141" s="354">
        <f>(O141*D138)</f>
        <v>0.33333333333333337</v>
      </c>
      <c r="R141" s="302"/>
      <c r="S141" s="134">
        <f>(B141/O141)</f>
        <v>1</v>
      </c>
      <c r="T141" s="134">
        <f>(SUM(C141:L141)/O141)</f>
        <v>0</v>
      </c>
      <c r="U141" s="33"/>
      <c r="V141" s="33"/>
    </row>
    <row r="142" spans="1:38" ht="14" hidden="1" outlineLevel="1">
      <c r="A142" s="165" t="str">
        <f>('Palveluntarjoajien lähtötiedot'!A10)</f>
        <v>PESULA 3</v>
      </c>
      <c r="B142" s="135">
        <f>(VLOOKUP(B138,'Lähtötiedot - kustannukset'!$C$2:$F$14,4,0)/(VLOOKUP(B138,Lähtötiedot!$C$3:$Q$13,15,0)))</f>
        <v>1.3192931493585087E-2</v>
      </c>
      <c r="C142" s="135">
        <f>((VLOOKUP(A142,'Lähtötiedot - kustannukset'!$B$77:$G$80,5,0)*(VLOOKUP(B138,Lähtötiedot!$C$3:$G$13,4,0))))</f>
        <v>0</v>
      </c>
      <c r="D142" s="135">
        <f>(VLOOKUP("*"&amp;B138&amp;"*",'Lähtötiedot - kustannukset'!$C$58:$F$70,4,0))</f>
        <v>0</v>
      </c>
      <c r="E142" s="135">
        <f>((VLOOKUP(A142,'Lähtötiedot - kustannukset'!$B$77:$G$80,5,0)*(VLOOKUP(B138,Lähtötiedot!$C$3:$G$13,4,0))))</f>
        <v>0</v>
      </c>
      <c r="F142" s="135"/>
      <c r="G142" s="135"/>
      <c r="H142" s="135"/>
      <c r="I142" s="135"/>
      <c r="J142" s="135"/>
      <c r="K142" s="135"/>
      <c r="L142" s="135"/>
      <c r="M142" s="135"/>
      <c r="N142" s="135">
        <f>(VLOOKUP(B138,Lähtötiedot!$C$3:$F$13,4,0)*('Lähtötiedot - kustannukset'!$F$73))</f>
        <v>0</v>
      </c>
      <c r="O142" s="355">
        <f>SUM(B142:L142)</f>
        <v>1.3192931493585087E-2</v>
      </c>
      <c r="P142" s="302"/>
      <c r="Q142" s="354">
        <f>(O142*D138)</f>
        <v>0.33333333333333337</v>
      </c>
      <c r="R142" s="302"/>
      <c r="S142" s="134">
        <f>(B142/O142)</f>
        <v>1</v>
      </c>
      <c r="T142" s="134">
        <f>(SUM(C142:L142)/O142)</f>
        <v>0</v>
      </c>
      <c r="U142" s="33"/>
      <c r="V142" s="33"/>
    </row>
    <row r="143" spans="1:38" ht="14">
      <c r="A143" s="16"/>
      <c r="B143" s="174"/>
      <c r="C143" s="170"/>
      <c r="D143" s="98"/>
      <c r="E143" s="98"/>
      <c r="F143" s="99"/>
      <c r="G143" s="99"/>
      <c r="H143" s="151"/>
      <c r="I143" s="151"/>
      <c r="J143" s="151"/>
      <c r="K143" s="171"/>
      <c r="L143" s="171"/>
      <c r="M143" s="171"/>
      <c r="N143" s="171"/>
      <c r="O143" s="33"/>
      <c r="P143" s="176"/>
      <c r="Q143" s="103"/>
      <c r="S143" s="33"/>
      <c r="T143" s="33"/>
      <c r="U143" s="33"/>
      <c r="V143" s="33"/>
    </row>
    <row r="144" spans="1:38" ht="13">
      <c r="A144" s="196"/>
      <c r="D144" s="152"/>
    </row>
    <row r="145" spans="1:26" ht="26" collapsed="1">
      <c r="A145" s="173" t="str">
        <f>(Lähtötiedot!B10&amp;", nykytila: tuotteet ostettuna, pesu toimipisteellä tai kotona")</f>
        <v>Toimija 3, nykytila: tuotteet ostettuna, pesu toimipisteellä tai kotona</v>
      </c>
      <c r="D145" s="152"/>
    </row>
    <row r="146" spans="1:26" ht="14" hidden="1" outlineLevel="1">
      <c r="A146" s="16"/>
      <c r="B146" s="174"/>
      <c r="C146" s="170"/>
      <c r="D146" s="98"/>
      <c r="E146" s="98"/>
      <c r="F146" s="99"/>
      <c r="G146" s="99"/>
      <c r="H146" s="151"/>
      <c r="I146" s="151"/>
      <c r="J146" s="151"/>
      <c r="K146" s="171"/>
      <c r="L146" s="171"/>
      <c r="M146" s="171"/>
      <c r="N146" s="171"/>
      <c r="O146" s="362" t="str">
        <f>($C$13)</f>
        <v xml:space="preserve">Täyttömäärä: 100 % </v>
      </c>
      <c r="P146" s="302"/>
      <c r="Q146" s="302"/>
      <c r="R146" s="302"/>
      <c r="S146" s="302"/>
      <c r="T146" s="302"/>
      <c r="U146" s="363" t="str">
        <f>($D$13)</f>
        <v>Pesukoneen kustannukset 2-kertaisena ("epäoptimaalinen pesu")</v>
      </c>
      <c r="V146" s="302"/>
      <c r="W146" s="302"/>
      <c r="X146" s="302"/>
      <c r="Y146" s="302"/>
      <c r="Z146" s="302"/>
    </row>
    <row r="147" spans="1:26" ht="14" hidden="1" outlineLevel="1">
      <c r="A147" s="16"/>
      <c r="B147" s="174"/>
      <c r="C147" s="170"/>
      <c r="D147" s="98"/>
      <c r="E147" s="98"/>
      <c r="F147" s="99"/>
      <c r="G147" s="99"/>
      <c r="H147" s="151"/>
      <c r="I147" s="151"/>
      <c r="J147" s="151"/>
      <c r="K147" s="171"/>
      <c r="L147" s="171"/>
      <c r="M147" s="171"/>
      <c r="N147" s="171"/>
      <c r="O147" s="302"/>
      <c r="P147" s="302"/>
      <c r="Q147" s="302"/>
      <c r="R147" s="302"/>
      <c r="S147" s="302"/>
      <c r="T147" s="302"/>
      <c r="U147" s="302"/>
      <c r="V147" s="302"/>
      <c r="W147" s="302"/>
      <c r="X147" s="302"/>
      <c r="Y147" s="302"/>
      <c r="Z147" s="302"/>
    </row>
    <row r="148" spans="1:26" ht="14" hidden="1" outlineLevel="1">
      <c r="B148" s="174"/>
      <c r="C148" s="170"/>
      <c r="D148" s="98"/>
      <c r="E148" s="98"/>
      <c r="F148" s="99"/>
      <c r="G148" s="99"/>
      <c r="H148" s="151"/>
      <c r="I148" s="151"/>
      <c r="J148" s="151"/>
      <c r="K148" s="171"/>
      <c r="L148" s="171"/>
      <c r="M148" s="171"/>
      <c r="N148" s="171"/>
      <c r="O148" s="110"/>
      <c r="S148" s="357"/>
      <c r="T148" s="302"/>
      <c r="U148" s="111"/>
      <c r="V148" s="33"/>
      <c r="W148" s="33"/>
      <c r="X148" s="33"/>
      <c r="Y148" s="356"/>
      <c r="Z148" s="302"/>
    </row>
    <row r="149" spans="1:26" ht="26" hidden="1" outlineLevel="1">
      <c r="A149" s="364" t="str">
        <f>(Lähtötiedot!$B$10&amp;": Skenaario: "&amp;B149&amp;" ostettuna, Pesu "&amp;(VLOOKUP(B149,Lähtötiedot!C:S,17,0)&amp;" toimipisteellä, "&amp;(VLOOKUP(B149,Lähtötiedot!C:S,16,0)&amp;" kotona")))</f>
        <v>Toimija 3: Skenaario: toimija 3 vaate 1 ostettuna, Pesu 1 toimipisteellä, 0 kotona</v>
      </c>
      <c r="B149" s="113" t="s">
        <v>268</v>
      </c>
      <c r="C149" s="114" t="str">
        <f>($M$13)</f>
        <v>Pesukerrat vuoden aikana</v>
      </c>
      <c r="D149" s="41">
        <f>(VLOOKUP(B149,Lähtötiedot!$C$3:$Q$36,15,0)/VLOOKUP(B149,Lähtötiedot!$C$3:$Q$36,10,0))</f>
        <v>25.26605504587156</v>
      </c>
      <c r="E149" s="114"/>
      <c r="F149" s="114"/>
      <c r="G149" s="114"/>
      <c r="H149" s="114"/>
      <c r="I149" s="114"/>
      <c r="J149" s="114"/>
      <c r="K149" s="114"/>
      <c r="L149" s="115"/>
      <c r="M149" s="115"/>
      <c r="N149" s="115"/>
      <c r="O149" s="349" t="str">
        <f>($E$14)</f>
        <v>€ / pesuväli</v>
      </c>
      <c r="P149" s="302"/>
      <c r="Q149" s="350" t="str">
        <f>($G$13)</f>
        <v>€ / vuosi</v>
      </c>
      <c r="R149" s="302"/>
      <c r="S149" s="349" t="str">
        <f>($K$13)</f>
        <v>Kustannuksen muodostuminen</v>
      </c>
      <c r="T149" s="302"/>
      <c r="U149" s="345" t="str">
        <f>($E$14)</f>
        <v>€ / pesuväli</v>
      </c>
      <c r="V149" s="302"/>
      <c r="W149" s="346" t="str">
        <f>($G$13)</f>
        <v>€ / vuosi</v>
      </c>
      <c r="X149" s="302"/>
      <c r="Y149" s="347" t="str">
        <f>($K$13)</f>
        <v>Kustannuksen muodostuminen</v>
      </c>
      <c r="Z149" s="302"/>
    </row>
    <row r="150" spans="1:26" ht="28" hidden="1" outlineLevel="1">
      <c r="A150" s="302"/>
      <c r="B150" s="119" t="s">
        <v>244</v>
      </c>
      <c r="C150" s="119" t="s">
        <v>245</v>
      </c>
      <c r="D150" s="119" t="s">
        <v>246</v>
      </c>
      <c r="E150" s="119" t="s">
        <v>247</v>
      </c>
      <c r="F150" s="119" t="s">
        <v>108</v>
      </c>
      <c r="G150" s="119" t="s">
        <v>103</v>
      </c>
      <c r="H150" s="119" t="s">
        <v>248</v>
      </c>
      <c r="I150" s="119" t="s">
        <v>249</v>
      </c>
      <c r="J150" s="119" t="s">
        <v>250</v>
      </c>
      <c r="K150" s="99" t="s">
        <v>251</v>
      </c>
      <c r="L150" s="119" t="s">
        <v>113</v>
      </c>
      <c r="M150" s="119" t="s">
        <v>252</v>
      </c>
      <c r="N150" s="120" t="str">
        <f>($N$13)</f>
        <v>Jätehuolto</v>
      </c>
      <c r="O150" s="121" t="s">
        <v>200</v>
      </c>
      <c r="P150" s="116" t="str">
        <f>($C$14)</f>
        <v>PAINOTETTU KESKIARVO</v>
      </c>
      <c r="Q150" s="112" t="s">
        <v>200</v>
      </c>
      <c r="R150" s="122" t="str">
        <f>($C$14)</f>
        <v>PAINOTETTU KESKIARVO</v>
      </c>
      <c r="S150" s="117" t="str">
        <f>($J$14)</f>
        <v>HANKINTA</v>
      </c>
      <c r="T150" s="117" t="str">
        <f>($K$14)</f>
        <v>HUOLTO</v>
      </c>
      <c r="U150" s="118" t="s">
        <v>200</v>
      </c>
      <c r="V150" s="123" t="str">
        <f>($C$14)</f>
        <v>PAINOTETTU KESKIARVO</v>
      </c>
      <c r="W150" s="124" t="s">
        <v>200</v>
      </c>
      <c r="X150" s="125" t="str">
        <f>($C$14)</f>
        <v>PAINOTETTU KESKIARVO</v>
      </c>
      <c r="Y150" s="126" t="str">
        <f>($J$14)</f>
        <v>HANKINTA</v>
      </c>
      <c r="Z150" s="126" t="str">
        <f>($K$14)</f>
        <v>HUOLTO</v>
      </c>
    </row>
    <row r="151" spans="1:26" ht="12.5" hidden="1" outlineLevel="1">
      <c r="A151" s="16" t="s">
        <v>253</v>
      </c>
      <c r="B151" s="127">
        <f>((VLOOKUP(B149,'Lähtötiedot - kustannukset'!C:F,4,0))/(VLOOKUP(B149,Lähtötiedot!C:Q,15,0)))</f>
        <v>1.5831517792302106E-2</v>
      </c>
      <c r="C151" s="127">
        <f>((VLOOKUP(B149,Lähtötiedot!C:F,4,0)*'Lähtötiedot - kustannukset'!$F$24))</f>
        <v>3.2404735799334443E-2</v>
      </c>
      <c r="D151" s="127">
        <f>((VLOOKUP(B149,Lähtötiedot!C:G,4,0))*'Kotikonemallien lähtötiedot'!$H$6*'Lähtötiedot - kustannukset'!$F$16)</f>
        <v>6.9071891774891781E-3</v>
      </c>
      <c r="E151" s="127">
        <f>('Kotikonemallien lähtötiedot'!$I$6*(VLOOKUP(B149,Lähtötiedot!C:F,4,0)*'Lähtötiedot - kustannukset'!$F$19))</f>
        <v>8.8267683333333336E-3</v>
      </c>
      <c r="F151" s="127">
        <f>('Kotikonemallien lähtötiedot'!$I$6*(VLOOKUP(B149,Lähtötiedot!C:F,4,0)*'Lähtötiedot - kustannukset'!$F$20))</f>
        <v>1.0458607857142857E-2</v>
      </c>
      <c r="G151" s="128">
        <f>('Kotikonemallien lähtötiedot'!$I$6*(VLOOKUP(B149,Lähtötiedot!C:F,4,0)*'Lähtötiedot - kustannukset'!$F$18))</f>
        <v>7.4174523809523811E-4</v>
      </c>
      <c r="H151" s="129"/>
      <c r="I151" s="129"/>
      <c r="J151" s="128">
        <f>((VLOOKUP(B149,Lähtötiedot!C:F,4,0)*'Lähtötiedot - kustannukset'!$F$26))</f>
        <v>0.10634068773603655</v>
      </c>
      <c r="K151" s="128">
        <f>((VLOOKUP(B149,Lähtötiedot!C:F,4,0)*'Kotikonemallien lähtötiedot'!$R$6*'Lähtötiedot - kustannukset'!$F$16))</f>
        <v>4.4931999999999993E-2</v>
      </c>
      <c r="L151" s="127">
        <f>((VLOOKUP(B149,Lähtötiedot!C:F,4,0)*'Lähtötiedot - kustannukset'!$F$22))</f>
        <v>3.8999999999999998E-3</v>
      </c>
      <c r="M151" s="127">
        <f>(((VLOOKUP(B149,Lähtötiedot!C:F,4,0)/'Kotikonemallien lähtötiedot'!$B$6))*('Lähtötiedot - kustannukset'!$F$27*'Lähtötiedot - kustannukset'!$F$28))</f>
        <v>0.55604838709677418</v>
      </c>
      <c r="N151" s="130">
        <f>(VLOOKUP(B149,Lähtötiedot!$C$3:$F$13,4,0)*('Lähtötiedot - kustannukset'!$F$73))</f>
        <v>0</v>
      </c>
      <c r="O151" s="131">
        <f>SUM(B151:N151)</f>
        <v>0.78639163903050791</v>
      </c>
      <c r="P151" s="348">
        <f ca="1">IFERROR(__xludf.DUMMYFUNCTION("average.weighted(O151,(vlookup(B149,'Lähtötiedot'!C:S,17,0)),O152,0,O153,(vlookup(B149,'Lähtötiedot'!C:S,16,0)))"),0.786391639030507)</f>
        <v>0.78639163903050702</v>
      </c>
      <c r="Q151" s="133">
        <f>(O151*((VLOOKUP(B149,Lähtötiedot!C:Q,15,0)/(VLOOKUP(B149,Lähtötiedot!C:L,10,0)))))</f>
        <v>19.869014439357972</v>
      </c>
      <c r="R151" s="348">
        <f ca="1">IFERROR(__xludf.DUMMYFUNCTION("average.weighted(Q151,(vlookup(B149,'Lähtötiedot'!C:S,17,0)),Q152,0,Q153,(vlookup(B149,'Lähtötiedot'!C:S,16,0)))"),19.8690144393579)</f>
        <v>19.869014439357901</v>
      </c>
      <c r="S151" s="134">
        <f>(B151/O151)</f>
        <v>2.0131849076904955E-2</v>
      </c>
      <c r="T151" s="134">
        <f>(SUM(C151:M151)/O151)</f>
        <v>0.97986815092309509</v>
      </c>
      <c r="U151" s="135">
        <f>(O151+C151+E151+F151+G151+M151)</f>
        <v>1.3948718833551879</v>
      </c>
      <c r="V151" s="348">
        <f ca="1">IFERROR(__xludf.DUMMYFUNCTION("average.weighted(U151,(vlookup(B149,'Lähtötiedot'!C:S,17,0)),U152,0,U153,(vlookup(B149,'Lähtötiedot'!C:S,16,0)))"),1.39487188335518)</f>
        <v>1.3948718833551801</v>
      </c>
      <c r="W151" s="136">
        <f>(U151*((VLOOKUP(B149,Lähtötiedot!C:Q,15,0)/(VLOOKUP(B149,Lähtötiedot!C:L,10,0)))))</f>
        <v>35.242909786790712</v>
      </c>
      <c r="X151" s="348">
        <f ca="1">IFERROR(__xludf.DUMMYFUNCTION("average.weighted(W151,(vlookup(B149,'Lähtötiedot'!C:S,17,0)),W152,0,W153,(vlookup(B149,'Lähtötiedot'!C:S,16,0)))"),35.2429097867907)</f>
        <v>35.242909786790698</v>
      </c>
      <c r="Y151" s="137">
        <f>(B151/U151)</f>
        <v>1.1349800638479709E-2</v>
      </c>
      <c r="Z151" s="137">
        <f>(SUM(U151-B151)/U151)</f>
        <v>0.98865019936152032</v>
      </c>
    </row>
    <row r="152" spans="1:26" ht="14" hidden="1" outlineLevel="1">
      <c r="A152" s="138" t="s">
        <v>254</v>
      </c>
      <c r="B152" s="139">
        <f>((VLOOKUP(B149,'Lähtötiedot - kustannukset'!C:F,4,0))/(VLOOKUP(B149,Lähtötiedot!C:Q,15,0)))</f>
        <v>1.5831517792302106E-2</v>
      </c>
      <c r="C152" s="139">
        <f>((VLOOKUP(B149,Lähtötiedot!C:F,4,0)*'Lähtötiedot - kustannukset'!$F$24))</f>
        <v>3.2404735799334443E-2</v>
      </c>
      <c r="D152" s="139">
        <f>((VLOOKUP(B149,Lähtötiedot!C:G,4,0))*'Kotikonemallien lähtötiedot'!$H$6*'Lähtötiedot - kustannukset'!$F$16)</f>
        <v>6.9071891774891781E-3</v>
      </c>
      <c r="E152" s="139">
        <f>('Kotikonemallien lähtötiedot'!$I$6*(VLOOKUP(B149,Lähtötiedot!C:F,4,0)*'Lähtötiedot - kustannukset'!$F$19))</f>
        <v>8.8267683333333336E-3</v>
      </c>
      <c r="F152" s="139">
        <f>('Kotikonemallien lähtötiedot'!$I$6*(VLOOKUP(B149,Lähtötiedot!C:F,4,0)*'Lähtötiedot - kustannukset'!$F$20))</f>
        <v>1.0458607857142857E-2</v>
      </c>
      <c r="G152" s="139">
        <f>('Kotikonemallien lähtötiedot'!$I$6*(VLOOKUP(B149,Lähtötiedot!C:F,4,0)*'Lähtötiedot - kustannukset'!$F$18))</f>
        <v>7.4174523809523811E-4</v>
      </c>
      <c r="H152" s="139">
        <f>((VLOOKUP(B149,Lähtötiedot!C:F,4,0)*'Lähtötiedot - kustannukset'!$F$25))</f>
        <v>4.0613741024137735E-2</v>
      </c>
      <c r="I152" s="140">
        <f>((VLOOKUP(B149,Lähtötiedot!C:F,4,0)*'Kotikonemallien lähtötiedot'!$M$6*'Lähtötiedot - kustannukset'!$F$16))</f>
        <v>2.5618357142857141E-2</v>
      </c>
      <c r="J152" s="140"/>
      <c r="K152" s="140"/>
      <c r="L152" s="139">
        <f>((VLOOKUP(B149,Lähtötiedot!C:F,4,0)*'Lähtötiedot - kustannukset'!$F$22))</f>
        <v>3.8999999999999998E-3</v>
      </c>
      <c r="M152" s="139">
        <f>((VLOOKUP(B149,Lähtötiedot!C:F,4,0)/'Kotikonemallien lähtötiedot'!$B$6*'Lähtötiedot - kustannukset'!$F$27*'Lähtötiedot - kustannukset'!$F$28))</f>
        <v>0.55604838709677418</v>
      </c>
      <c r="N152" s="141">
        <f>(VLOOKUP(B149,Lähtötiedot!$C$3:$F$13,4,0)*('Lähtötiedot - kustannukset'!$F$73))</f>
        <v>0</v>
      </c>
      <c r="O152" s="142">
        <f>SUM(B152:M152)</f>
        <v>0.7013510494614662</v>
      </c>
      <c r="P152" s="302"/>
      <c r="Q152" s="143">
        <f>(O152*((VLOOKUP(B149,Lähtötiedot!C:Q,15,0)/(VLOOKUP(B149,Lähtötiedot!C:L,10,0)))))</f>
        <v>17.720374222173191</v>
      </c>
      <c r="R152" s="302"/>
      <c r="S152" s="144">
        <f>(B152/O152)</f>
        <v>2.257288672264534E-2</v>
      </c>
      <c r="T152" s="144">
        <f>(SUM(C152:M152)/O152)</f>
        <v>0.97742711327735465</v>
      </c>
      <c r="U152" s="145">
        <f>(O152+C152+E152+F152+G152+M152)</f>
        <v>1.309831293786146</v>
      </c>
      <c r="V152" s="302"/>
      <c r="W152" s="146">
        <f>(U152*((VLOOKUP(B149,Lähtötiedot!C:Q,15,0)/(VLOOKUP(B149,Lähtötiedot!C:L,10,0)))))</f>
        <v>33.094269569605927</v>
      </c>
      <c r="X152" s="302"/>
      <c r="Y152" s="147">
        <f>(B152/U152)</f>
        <v>1.2086684649700308E-2</v>
      </c>
      <c r="Z152" s="147">
        <f>(SUM(U152-B152)/U152)</f>
        <v>0.98791331535029969</v>
      </c>
    </row>
    <row r="153" spans="1:26" ht="14" hidden="1" outlineLevel="1">
      <c r="A153" s="16" t="s">
        <v>255</v>
      </c>
      <c r="B153" s="128">
        <f>((VLOOKUP(B149,'Lähtötiedot - kustannukset'!C:F,4,0))/(VLOOKUP(B149,Lähtötiedot!C:Q,15,0)))</f>
        <v>1.5831517792302106E-2</v>
      </c>
      <c r="C153" s="127"/>
      <c r="D153" s="127"/>
      <c r="E153" s="127"/>
      <c r="F153" s="127"/>
      <c r="G153" s="129"/>
      <c r="H153" s="127"/>
      <c r="I153" s="129"/>
      <c r="J153" s="129"/>
      <c r="K153" s="129"/>
      <c r="L153" s="128">
        <f>((VLOOKUP(B149,Lähtötiedot!C:F,4,0)*'Lähtötiedot - kustannukset'!$F$22))</f>
        <v>3.8999999999999998E-3</v>
      </c>
      <c r="M153" s="127"/>
      <c r="N153" s="148">
        <f>(VLOOKUP(B149,Lähtötiedot!$C$3:$F$13,4,0)*('Lähtötiedot - kustannukset'!$F$73))</f>
        <v>0</v>
      </c>
      <c r="O153" s="131">
        <f>SUM(B153:M153)</f>
        <v>1.9731517792302106E-2</v>
      </c>
      <c r="P153" s="302"/>
      <c r="Q153" s="149">
        <f>(O153*((VLOOKUP(B149,Lähtötiedot!C:Q,15,0)/(VLOOKUP(B149,Lähtötiedot!C:L,10,0)))))</f>
        <v>0.49853761467889912</v>
      </c>
      <c r="R153" s="302"/>
      <c r="S153" s="134">
        <f>(B153/O153)</f>
        <v>0.80234668001457465</v>
      </c>
      <c r="T153" s="134">
        <f>(SUM(C153:M153)/O153)</f>
        <v>0.19765331998542526</v>
      </c>
      <c r="U153" s="150">
        <f>SUM(B153:M153)</f>
        <v>1.9731517792302106E-2</v>
      </c>
      <c r="V153" s="302"/>
      <c r="W153" s="136">
        <f>(U153*((VLOOKUP(B149,Lähtötiedot!C:Q,15,0)/(VLOOKUP(B149,Lähtötiedot!C:L,10,0)))))</f>
        <v>0.49853761467889912</v>
      </c>
      <c r="X153" s="302"/>
      <c r="Y153" s="137">
        <f>(B153/U153)</f>
        <v>0.80234668001457465</v>
      </c>
      <c r="Z153" s="137">
        <f>(SUM(U153-B153)/U153)</f>
        <v>0.19765331998542529</v>
      </c>
    </row>
    <row r="154" spans="1:26" ht="14" hidden="1" outlineLevel="1">
      <c r="A154" s="16"/>
      <c r="B154" s="174"/>
      <c r="C154" s="170"/>
      <c r="D154" s="98"/>
      <c r="E154" s="98"/>
      <c r="F154" s="99"/>
      <c r="G154" s="99"/>
      <c r="H154" s="151"/>
      <c r="I154" s="151"/>
      <c r="J154" s="151"/>
      <c r="K154" s="171"/>
      <c r="L154" s="171"/>
      <c r="M154" s="171"/>
      <c r="N154" s="171"/>
      <c r="O154" s="33"/>
      <c r="P154" s="153"/>
      <c r="Q154" s="103"/>
      <c r="S154" s="33"/>
      <c r="T154" s="33"/>
      <c r="U154" s="33"/>
      <c r="V154" s="33"/>
    </row>
    <row r="155" spans="1:26" ht="26" hidden="1" outlineLevel="1">
      <c r="A155" s="364" t="str">
        <f>(Lähtötiedot!$B$10&amp;": Skenaario: "&amp;B155&amp;" ostettuna, Pesu "&amp;(VLOOKUP(B155,Lähtötiedot!C:S,17,0)&amp;" toimipisteellä, "&amp;(VLOOKUP(B155,Lähtötiedot!C:S,16,0)&amp;" kotona")))</f>
        <v>Toimija 3: Skenaario: toimija 3 vaate 2 ostettuna, Pesu 1 toimipisteellä, 0 kotona</v>
      </c>
      <c r="B155" s="113" t="s">
        <v>269</v>
      </c>
      <c r="C155" s="114" t="str">
        <f>($M$13)</f>
        <v>Pesukerrat vuoden aikana</v>
      </c>
      <c r="D155" s="41">
        <f>(VLOOKUP(B155,Lähtötiedot!$C$3:$Q$36,15,0)/VLOOKUP(B155,Lähtötiedot!$C$3:$Q$36,10,0))</f>
        <v>25.26605504587156</v>
      </c>
      <c r="E155" s="114"/>
      <c r="F155" s="114"/>
      <c r="G155" s="114"/>
      <c r="H155" s="114"/>
      <c r="I155" s="114"/>
      <c r="J155" s="114"/>
      <c r="K155" s="114"/>
      <c r="L155" s="115"/>
      <c r="M155" s="115"/>
      <c r="N155" s="115"/>
      <c r="O155" s="349" t="str">
        <f>($E$14)</f>
        <v>€ / pesuväli</v>
      </c>
      <c r="P155" s="302"/>
      <c r="Q155" s="350" t="str">
        <f>($G$13)</f>
        <v>€ / vuosi</v>
      </c>
      <c r="R155" s="302"/>
      <c r="S155" s="349" t="str">
        <f>($K$13)</f>
        <v>Kustannuksen muodostuminen</v>
      </c>
      <c r="T155" s="302"/>
      <c r="U155" s="345" t="str">
        <f>($E$14)</f>
        <v>€ / pesuväli</v>
      </c>
      <c r="V155" s="302"/>
      <c r="W155" s="346" t="str">
        <f>($G$13)</f>
        <v>€ / vuosi</v>
      </c>
      <c r="X155" s="302"/>
      <c r="Y155" s="347" t="str">
        <f>($K$13)</f>
        <v>Kustannuksen muodostuminen</v>
      </c>
      <c r="Z155" s="302"/>
    </row>
    <row r="156" spans="1:26" ht="28" hidden="1" outlineLevel="1">
      <c r="A156" s="302"/>
      <c r="B156" s="119" t="s">
        <v>244</v>
      </c>
      <c r="C156" s="119" t="s">
        <v>245</v>
      </c>
      <c r="D156" s="119" t="s">
        <v>246</v>
      </c>
      <c r="E156" s="119" t="s">
        <v>247</v>
      </c>
      <c r="F156" s="119" t="s">
        <v>108</v>
      </c>
      <c r="G156" s="119" t="s">
        <v>103</v>
      </c>
      <c r="H156" s="119" t="s">
        <v>248</v>
      </c>
      <c r="I156" s="119" t="s">
        <v>249</v>
      </c>
      <c r="J156" s="119" t="s">
        <v>250</v>
      </c>
      <c r="K156" s="99" t="s">
        <v>251</v>
      </c>
      <c r="L156" s="119" t="s">
        <v>113</v>
      </c>
      <c r="M156" s="119" t="s">
        <v>252</v>
      </c>
      <c r="N156" s="120" t="str">
        <f>($N$13)</f>
        <v>Jätehuolto</v>
      </c>
      <c r="O156" s="121" t="s">
        <v>200</v>
      </c>
      <c r="P156" s="116" t="str">
        <f>($C$14)</f>
        <v>PAINOTETTU KESKIARVO</v>
      </c>
      <c r="Q156" s="112" t="s">
        <v>200</v>
      </c>
      <c r="R156" s="122" t="str">
        <f>($C$14)</f>
        <v>PAINOTETTU KESKIARVO</v>
      </c>
      <c r="S156" s="117" t="str">
        <f>($J$14)</f>
        <v>HANKINTA</v>
      </c>
      <c r="T156" s="117" t="str">
        <f>($K$14)</f>
        <v>HUOLTO</v>
      </c>
      <c r="U156" s="118" t="s">
        <v>200</v>
      </c>
      <c r="V156" s="123" t="str">
        <f>($C$14)</f>
        <v>PAINOTETTU KESKIARVO</v>
      </c>
      <c r="W156" s="124" t="s">
        <v>200</v>
      </c>
      <c r="X156" s="125" t="str">
        <f>($C$14)</f>
        <v>PAINOTETTU KESKIARVO</v>
      </c>
      <c r="Y156" s="126" t="str">
        <f>($J$14)</f>
        <v>HANKINTA</v>
      </c>
      <c r="Z156" s="126" t="str">
        <f>($K$14)</f>
        <v>HUOLTO</v>
      </c>
    </row>
    <row r="157" spans="1:26" ht="12.5" hidden="1" outlineLevel="1">
      <c r="A157" s="16" t="s">
        <v>253</v>
      </c>
      <c r="B157" s="127">
        <f>((VLOOKUP(B155,'Lähtötiedot - kustannukset'!C:F,4,0))/(VLOOKUP(B155,Lähtötiedot!C:Q,15,0)))</f>
        <v>1.5831517792302106E-2</v>
      </c>
      <c r="C157" s="127">
        <f>((VLOOKUP(B155,Lähtötiedot!C:F,4,0)*'Lähtötiedot - kustannukset'!$F$24))</f>
        <v>3.2404735799334443E-2</v>
      </c>
      <c r="D157" s="127">
        <f>((VLOOKUP(B155,Lähtötiedot!C:G,4,0))*'Kotikonemallien lähtötiedot'!$H$6*'Lähtötiedot - kustannukset'!$F$16)</f>
        <v>6.9071891774891781E-3</v>
      </c>
      <c r="E157" s="127">
        <f>('Kotikonemallien lähtötiedot'!$I$6*(VLOOKUP(B155,Lähtötiedot!C:F,4,0)*'Lähtötiedot - kustannukset'!$F$19))</f>
        <v>8.8267683333333336E-3</v>
      </c>
      <c r="F157" s="127">
        <f>('Kotikonemallien lähtötiedot'!$I$6*(VLOOKUP(B155,Lähtötiedot!C:F,4,0)*'Lähtötiedot - kustannukset'!$F$20))</f>
        <v>1.0458607857142857E-2</v>
      </c>
      <c r="G157" s="128">
        <f>('Kotikonemallien lähtötiedot'!$I$6*(VLOOKUP(B155,Lähtötiedot!C:F,4,0)*'Lähtötiedot - kustannukset'!$F$18))</f>
        <v>7.4174523809523811E-4</v>
      </c>
      <c r="H157" s="129"/>
      <c r="I157" s="129"/>
      <c r="J157" s="128">
        <f>((VLOOKUP(B155,Lähtötiedot!C:F,4,0)*'Lähtötiedot - kustannukset'!$F$26))</f>
        <v>0.10634068773603655</v>
      </c>
      <c r="K157" s="128">
        <f>((VLOOKUP(B155,Lähtötiedot!C:F,4,0)*'Kotikonemallien lähtötiedot'!$R$6*'Lähtötiedot - kustannukset'!$F$16))</f>
        <v>4.4931999999999993E-2</v>
      </c>
      <c r="L157" s="127">
        <f>((VLOOKUP(B155,Lähtötiedot!C:F,4,0)*'Lähtötiedot - kustannukset'!$F$22))</f>
        <v>3.8999999999999998E-3</v>
      </c>
      <c r="M157" s="127">
        <f>(((VLOOKUP(B155,Lähtötiedot!C:F,4,0)/'Kotikonemallien lähtötiedot'!$B$6))*('Lähtötiedot - kustannukset'!$F$27*'Lähtötiedot - kustannukset'!$F$28))</f>
        <v>0.55604838709677418</v>
      </c>
      <c r="N157" s="130">
        <f>(VLOOKUP(B155,Lähtötiedot!$C$3:$F$13,4,0)*('Lähtötiedot - kustannukset'!$F$73))</f>
        <v>0</v>
      </c>
      <c r="O157" s="131">
        <f>SUM(B157:N157)</f>
        <v>0.78639163903050791</v>
      </c>
      <c r="P157" s="348">
        <f ca="1">IFERROR(__xludf.DUMMYFUNCTION("average.weighted(O157,(vlookup(B155,'Lähtötiedot'!C:S,17,0)),O158,0,O159,(vlookup(B155,'Lähtötiedot'!C:S,16,0)))"),0.786391639030507)</f>
        <v>0.78639163903050702</v>
      </c>
      <c r="Q157" s="133">
        <f>(O157*((VLOOKUP(B155,Lähtötiedot!C:Q,15,0)/(VLOOKUP(B155,Lähtötiedot!C:L,10,0)))))</f>
        <v>19.869014439357972</v>
      </c>
      <c r="R157" s="348">
        <f ca="1">IFERROR(__xludf.DUMMYFUNCTION("average.weighted(Q157,(vlookup(B155,'Lähtötiedot'!C:S,17,0)),Q158,0,Q159,(vlookup(B155,'Lähtötiedot'!C:S,16,0)))"),19.8690144393579)</f>
        <v>19.869014439357901</v>
      </c>
      <c r="S157" s="134">
        <f>(B157/O157)</f>
        <v>2.0131849076904955E-2</v>
      </c>
      <c r="T157" s="134">
        <f>(SUM(C157:M157)/O157)</f>
        <v>0.97986815092309509</v>
      </c>
      <c r="U157" s="135">
        <f>(O157+C157+E157+F157+G157+M157)</f>
        <v>1.3948718833551879</v>
      </c>
      <c r="V157" s="348">
        <f ca="1">IFERROR(__xludf.DUMMYFUNCTION("average.weighted(U157,(vlookup(B155,'Lähtötiedot'!C:S,17,0)),U158,0,U159,(vlookup(B155,'Lähtötiedot'!C:S,16,0)))"),1.39487188335518)</f>
        <v>1.3948718833551801</v>
      </c>
      <c r="W157" s="136">
        <f>(U157*((VLOOKUP(B155,Lähtötiedot!C:Q,15,0)/(VLOOKUP(B155,Lähtötiedot!C:L,10,0)))))</f>
        <v>35.242909786790712</v>
      </c>
      <c r="X157" s="348">
        <f ca="1">IFERROR(__xludf.DUMMYFUNCTION("average.weighted(W157,(vlookup(B155,'Lähtötiedot'!C:S,17,0)),W158,0,W159,(vlookup(B155,'Lähtötiedot'!C:S,16,0)))"),35.2429097867907)</f>
        <v>35.242909786790698</v>
      </c>
      <c r="Y157" s="137">
        <f>(B157/U157)</f>
        <v>1.1349800638479709E-2</v>
      </c>
      <c r="Z157" s="137">
        <f>(SUM(U157-B157)/U157)</f>
        <v>0.98865019936152032</v>
      </c>
    </row>
    <row r="158" spans="1:26" ht="14" hidden="1" outlineLevel="1">
      <c r="A158" s="138" t="s">
        <v>254</v>
      </c>
      <c r="B158" s="139">
        <f>((VLOOKUP(B155,'Lähtötiedot - kustannukset'!C:F,4,0))/(VLOOKUP(B155,Lähtötiedot!C:Q,15,0)))</f>
        <v>1.5831517792302106E-2</v>
      </c>
      <c r="C158" s="139">
        <f>((VLOOKUP(B155,Lähtötiedot!C:F,4,0)*'Lähtötiedot - kustannukset'!$F$24))</f>
        <v>3.2404735799334443E-2</v>
      </c>
      <c r="D158" s="139">
        <f>((VLOOKUP(B155,Lähtötiedot!C:G,4,0))*'Kotikonemallien lähtötiedot'!$H$6*'Lähtötiedot - kustannukset'!$F$16)</f>
        <v>6.9071891774891781E-3</v>
      </c>
      <c r="E158" s="139">
        <f>('Kotikonemallien lähtötiedot'!$I$6*(VLOOKUP(B155,Lähtötiedot!C:F,4,0)*'Lähtötiedot - kustannukset'!$F$19))</f>
        <v>8.8267683333333336E-3</v>
      </c>
      <c r="F158" s="139">
        <f>('Kotikonemallien lähtötiedot'!$I$6*(VLOOKUP(B155,Lähtötiedot!C:F,4,0)*'Lähtötiedot - kustannukset'!$F$20))</f>
        <v>1.0458607857142857E-2</v>
      </c>
      <c r="G158" s="139">
        <f>('Kotikonemallien lähtötiedot'!$I$6*(VLOOKUP(B155,Lähtötiedot!C:F,4,0)*'Lähtötiedot - kustannukset'!$F$18))</f>
        <v>7.4174523809523811E-4</v>
      </c>
      <c r="H158" s="139">
        <f>((VLOOKUP(B155,Lähtötiedot!C:F,4,0)*'Lähtötiedot - kustannukset'!$F$25))</f>
        <v>4.0613741024137735E-2</v>
      </c>
      <c r="I158" s="140">
        <f>((VLOOKUP(B155,Lähtötiedot!C:F,4,0)*'Kotikonemallien lähtötiedot'!$M$6*'Lähtötiedot - kustannukset'!$F$16))</f>
        <v>2.5618357142857141E-2</v>
      </c>
      <c r="J158" s="140"/>
      <c r="K158" s="140"/>
      <c r="L158" s="139">
        <f>((VLOOKUP(B155,Lähtötiedot!C:F,4,0)*'Lähtötiedot - kustannukset'!$F$22))</f>
        <v>3.8999999999999998E-3</v>
      </c>
      <c r="M158" s="139">
        <f>((VLOOKUP(B155,Lähtötiedot!C:F,4,0)/'Kotikonemallien lähtötiedot'!$B$6*'Lähtötiedot - kustannukset'!$F$27*'Lähtötiedot - kustannukset'!$F$28))</f>
        <v>0.55604838709677418</v>
      </c>
      <c r="N158" s="141">
        <f>(VLOOKUP(B155,Lähtötiedot!$C$3:$F$13,4,0)*('Lähtötiedot - kustannukset'!$F$73))</f>
        <v>0</v>
      </c>
      <c r="O158" s="142">
        <f>SUM(B158:M158)</f>
        <v>0.7013510494614662</v>
      </c>
      <c r="P158" s="302"/>
      <c r="Q158" s="143">
        <f>(O158*((VLOOKUP(B155,Lähtötiedot!C:Q,15,0)/(VLOOKUP(B155,Lähtötiedot!C:L,10,0)))))</f>
        <v>17.720374222173191</v>
      </c>
      <c r="R158" s="302"/>
      <c r="S158" s="144">
        <f>(B158/O158)</f>
        <v>2.257288672264534E-2</v>
      </c>
      <c r="T158" s="144">
        <f>(SUM(C158:M158)/O158)</f>
        <v>0.97742711327735465</v>
      </c>
      <c r="U158" s="145">
        <f>(O158+C158+E158+F158+G158+M158)</f>
        <v>1.309831293786146</v>
      </c>
      <c r="V158" s="302"/>
      <c r="W158" s="146">
        <f>(U158*((VLOOKUP(B155,Lähtötiedot!C:Q,15,0)/(VLOOKUP(B155,Lähtötiedot!C:L,10,0)))))</f>
        <v>33.094269569605927</v>
      </c>
      <c r="X158" s="302"/>
      <c r="Y158" s="147">
        <f>(B158/U158)</f>
        <v>1.2086684649700308E-2</v>
      </c>
      <c r="Z158" s="147">
        <f>(SUM(U158-B158)/U158)</f>
        <v>0.98791331535029969</v>
      </c>
    </row>
    <row r="159" spans="1:26" ht="14" hidden="1" outlineLevel="1">
      <c r="A159" s="16" t="s">
        <v>255</v>
      </c>
      <c r="B159" s="128">
        <f>((VLOOKUP(B155,'Lähtötiedot - kustannukset'!C:F,4,0))/(VLOOKUP(B155,Lähtötiedot!C:Q,15,0)))</f>
        <v>1.5831517792302106E-2</v>
      </c>
      <c r="C159" s="127"/>
      <c r="D159" s="127"/>
      <c r="E159" s="127"/>
      <c r="F159" s="127"/>
      <c r="G159" s="129"/>
      <c r="H159" s="127"/>
      <c r="I159" s="129"/>
      <c r="J159" s="129"/>
      <c r="K159" s="129"/>
      <c r="L159" s="128">
        <f>((VLOOKUP(B155,Lähtötiedot!C:F,4,0)*'Lähtötiedot - kustannukset'!$F$22))</f>
        <v>3.8999999999999998E-3</v>
      </c>
      <c r="M159" s="127"/>
      <c r="N159" s="148">
        <f>(VLOOKUP(B155,Lähtötiedot!$C$3:$F$13,4,0)*('Lähtötiedot - kustannukset'!$F$73))</f>
        <v>0</v>
      </c>
      <c r="O159" s="131">
        <f>SUM(B159:M159)</f>
        <v>1.9731517792302106E-2</v>
      </c>
      <c r="P159" s="302"/>
      <c r="Q159" s="149">
        <f>(O159*((VLOOKUP(B155,Lähtötiedot!C:Q,15,0)/(VLOOKUP(B155,Lähtötiedot!C:L,10,0)))))</f>
        <v>0.49853761467889912</v>
      </c>
      <c r="R159" s="302"/>
      <c r="S159" s="134">
        <f>(B159/O159)</f>
        <v>0.80234668001457465</v>
      </c>
      <c r="T159" s="134">
        <f>(SUM(C159:M159)/O159)</f>
        <v>0.19765331998542526</v>
      </c>
      <c r="U159" s="150">
        <f>SUM(B159:M159)</f>
        <v>1.9731517792302106E-2</v>
      </c>
      <c r="V159" s="302"/>
      <c r="W159" s="136">
        <f>(U159*((VLOOKUP(B155,Lähtötiedot!C:Q,15,0)/(VLOOKUP(B155,Lähtötiedot!C:L,10,0)))))</f>
        <v>0.49853761467889912</v>
      </c>
      <c r="X159" s="302"/>
      <c r="Y159" s="137">
        <f>(B159/U159)</f>
        <v>0.80234668001457465</v>
      </c>
      <c r="Z159" s="137">
        <f>(SUM(U159-B159)/U159)</f>
        <v>0.19765331998542529</v>
      </c>
    </row>
    <row r="160" spans="1:26" ht="14" hidden="1" outlineLevel="1">
      <c r="A160" s="16"/>
      <c r="B160" s="174"/>
      <c r="C160" s="170"/>
      <c r="D160" s="98"/>
      <c r="E160" s="98"/>
      <c r="F160" s="99"/>
      <c r="G160" s="99"/>
      <c r="H160" s="151"/>
      <c r="I160" s="151"/>
      <c r="J160" s="151"/>
      <c r="K160" s="171"/>
      <c r="L160" s="171"/>
      <c r="M160" s="171"/>
      <c r="N160" s="171"/>
      <c r="O160" s="33"/>
      <c r="P160" s="153"/>
      <c r="Q160" s="103"/>
      <c r="S160" s="33"/>
      <c r="T160" s="33"/>
      <c r="U160" s="33"/>
      <c r="V160" s="33"/>
    </row>
    <row r="161" spans="1:26" ht="26" hidden="1" outlineLevel="1">
      <c r="A161" s="364" t="str">
        <f>(Lähtötiedot!$B$10&amp;": Skenaario: "&amp;B161&amp;" ostettuna, Pesu "&amp;(VLOOKUP(B161,Lähtötiedot!C:S,17,0)&amp;" toimipisteellä, "&amp;(VLOOKUP(B161,Lähtötiedot!C:S,16,0)&amp;" kotona")))</f>
        <v>Toimija 3: Skenaario: toimija 3 vaate 3 ostettuna, Pesu 1 toimipisteellä, 0 kotona</v>
      </c>
      <c r="B161" s="113" t="s">
        <v>270</v>
      </c>
      <c r="C161" s="114" t="str">
        <f>($M$13)</f>
        <v>Pesukerrat vuoden aikana</v>
      </c>
      <c r="D161" s="41">
        <f>(VLOOKUP(B161,Lähtötiedot!$C$3:$Q$36,15,0)/VLOOKUP(B161,Lähtötiedot!$C$3:$Q$36,10,0))</f>
        <v>25.26605504587156</v>
      </c>
      <c r="E161" s="114"/>
      <c r="F161" s="114"/>
      <c r="G161" s="114"/>
      <c r="H161" s="114"/>
      <c r="I161" s="114"/>
      <c r="J161" s="114"/>
      <c r="K161" s="114"/>
      <c r="L161" s="115"/>
      <c r="M161" s="115"/>
      <c r="N161" s="115"/>
      <c r="O161" s="349" t="str">
        <f>($E$14)</f>
        <v>€ / pesuväli</v>
      </c>
      <c r="P161" s="302"/>
      <c r="Q161" s="350" t="str">
        <f>($G$13)</f>
        <v>€ / vuosi</v>
      </c>
      <c r="R161" s="302"/>
      <c r="S161" s="349" t="str">
        <f>($K$13)</f>
        <v>Kustannuksen muodostuminen</v>
      </c>
      <c r="T161" s="302"/>
      <c r="U161" s="345" t="str">
        <f>($E$14)</f>
        <v>€ / pesuväli</v>
      </c>
      <c r="V161" s="302"/>
      <c r="W161" s="346" t="str">
        <f>($G$13)</f>
        <v>€ / vuosi</v>
      </c>
      <c r="X161" s="302"/>
      <c r="Y161" s="347" t="str">
        <f>($K$13)</f>
        <v>Kustannuksen muodostuminen</v>
      </c>
      <c r="Z161" s="302"/>
    </row>
    <row r="162" spans="1:26" ht="28" hidden="1" outlineLevel="1">
      <c r="A162" s="302"/>
      <c r="B162" s="119" t="s">
        <v>244</v>
      </c>
      <c r="C162" s="119" t="s">
        <v>245</v>
      </c>
      <c r="D162" s="119" t="s">
        <v>246</v>
      </c>
      <c r="E162" s="119" t="s">
        <v>247</v>
      </c>
      <c r="F162" s="119" t="s">
        <v>108</v>
      </c>
      <c r="G162" s="119" t="s">
        <v>103</v>
      </c>
      <c r="H162" s="119" t="s">
        <v>248</v>
      </c>
      <c r="I162" s="119" t="s">
        <v>249</v>
      </c>
      <c r="J162" s="119" t="s">
        <v>250</v>
      </c>
      <c r="K162" s="99" t="s">
        <v>251</v>
      </c>
      <c r="L162" s="119" t="s">
        <v>113</v>
      </c>
      <c r="M162" s="119" t="s">
        <v>252</v>
      </c>
      <c r="N162" s="120" t="str">
        <f>($N$13)</f>
        <v>Jätehuolto</v>
      </c>
      <c r="O162" s="121" t="s">
        <v>200</v>
      </c>
      <c r="P162" s="116" t="str">
        <f>($C$14)</f>
        <v>PAINOTETTU KESKIARVO</v>
      </c>
      <c r="Q162" s="112" t="s">
        <v>200</v>
      </c>
      <c r="R162" s="122" t="str">
        <f>($C$14)</f>
        <v>PAINOTETTU KESKIARVO</v>
      </c>
      <c r="S162" s="117" t="str">
        <f>($J$14)</f>
        <v>HANKINTA</v>
      </c>
      <c r="T162" s="117" t="str">
        <f>($K$14)</f>
        <v>HUOLTO</v>
      </c>
      <c r="U162" s="118" t="s">
        <v>200</v>
      </c>
      <c r="V162" s="123" t="str">
        <f>($C$14)</f>
        <v>PAINOTETTU KESKIARVO</v>
      </c>
      <c r="W162" s="124" t="s">
        <v>200</v>
      </c>
      <c r="X162" s="125" t="str">
        <f>($C$14)</f>
        <v>PAINOTETTU KESKIARVO</v>
      </c>
      <c r="Y162" s="126" t="str">
        <f>($J$14)</f>
        <v>HANKINTA</v>
      </c>
      <c r="Z162" s="126" t="str">
        <f>($K$14)</f>
        <v>HUOLTO</v>
      </c>
    </row>
    <row r="163" spans="1:26" ht="12.5" hidden="1" outlineLevel="1">
      <c r="A163" s="16" t="s">
        <v>253</v>
      </c>
      <c r="B163" s="127">
        <f>((VLOOKUP(B161,'Lähtötiedot - kustannukset'!C:F,4,0))/(VLOOKUP(B161,Lähtötiedot!C:Q,15,0)))</f>
        <v>1.5831517792302106E-2</v>
      </c>
      <c r="C163" s="127">
        <f>((VLOOKUP(B161,Lähtötiedot!C:F,4,0)*'Lähtötiedot - kustannukset'!$F$24))</f>
        <v>3.2404735799334443E-2</v>
      </c>
      <c r="D163" s="127">
        <f>((VLOOKUP(B161,Lähtötiedot!C:G,4,0))*'Kotikonemallien lähtötiedot'!$H$6*'Lähtötiedot - kustannukset'!$F$16)</f>
        <v>6.9071891774891781E-3</v>
      </c>
      <c r="E163" s="127">
        <f>('Kotikonemallien lähtötiedot'!$I$6*(VLOOKUP(B161,Lähtötiedot!C:F,4,0)*'Lähtötiedot - kustannukset'!$F$19))</f>
        <v>8.8267683333333336E-3</v>
      </c>
      <c r="F163" s="127">
        <f>('Kotikonemallien lähtötiedot'!$I$6*(VLOOKUP(B161,Lähtötiedot!C:F,4,0)*'Lähtötiedot - kustannukset'!$F$20))</f>
        <v>1.0458607857142857E-2</v>
      </c>
      <c r="G163" s="128">
        <f>('Kotikonemallien lähtötiedot'!$I$6*(VLOOKUP(B161,Lähtötiedot!C:F,4,0)*'Lähtötiedot - kustannukset'!$F$18))</f>
        <v>7.4174523809523811E-4</v>
      </c>
      <c r="H163" s="129"/>
      <c r="I163" s="129"/>
      <c r="J163" s="128">
        <f>((VLOOKUP(B161,Lähtötiedot!C:F,4,0)*'Lähtötiedot - kustannukset'!$F$26))</f>
        <v>0.10634068773603655</v>
      </c>
      <c r="K163" s="128">
        <f>((VLOOKUP(B161,Lähtötiedot!C:F,4,0)*'Kotikonemallien lähtötiedot'!$R$6*'Lähtötiedot - kustannukset'!$F$16))</f>
        <v>4.4931999999999993E-2</v>
      </c>
      <c r="L163" s="127">
        <f>((VLOOKUP(B161,Lähtötiedot!C:F,4,0)*'Lähtötiedot - kustannukset'!$F$22))</f>
        <v>3.8999999999999998E-3</v>
      </c>
      <c r="M163" s="127">
        <f>(((VLOOKUP(B161,Lähtötiedot!C:F,4,0)/'Kotikonemallien lähtötiedot'!$B$6))*('Lähtötiedot - kustannukset'!$F$27*'Lähtötiedot - kustannukset'!$F$28))</f>
        <v>0.55604838709677418</v>
      </c>
      <c r="N163" s="130">
        <f>(VLOOKUP(B161,Lähtötiedot!$C$3:$F$13,4,0)*('Lähtötiedot - kustannukset'!$F$73))</f>
        <v>0</v>
      </c>
      <c r="O163" s="131">
        <f>SUM(B163:N163)</f>
        <v>0.78639163903050791</v>
      </c>
      <c r="P163" s="348">
        <f ca="1">IFERROR(__xludf.DUMMYFUNCTION("average.weighted(O163,(vlookup(B161,'Lähtötiedot'!C:S,17,0)),O164,0,O165,(vlookup(B161,'Lähtötiedot'!C:S,16,0)))"),0.786391639030507)</f>
        <v>0.78639163903050702</v>
      </c>
      <c r="Q163" s="133">
        <f>(O163*((VLOOKUP(B161,Lähtötiedot!C:Q,15,0)/(VLOOKUP(B161,Lähtötiedot!C:L,10,0)))))</f>
        <v>19.869014439357972</v>
      </c>
      <c r="R163" s="348">
        <f ca="1">IFERROR(__xludf.DUMMYFUNCTION("average.weighted(Q163,(vlookup(B161,'Lähtötiedot'!C:S,17,0)),Q164,0,Q165,(vlookup(B161,'Lähtötiedot'!C:S,16,0)))"),19.8690144393579)</f>
        <v>19.869014439357901</v>
      </c>
      <c r="S163" s="134">
        <f>(B163/O163)</f>
        <v>2.0131849076904955E-2</v>
      </c>
      <c r="T163" s="134">
        <f>(SUM(C163:M163)/O163)</f>
        <v>0.97986815092309509</v>
      </c>
      <c r="U163" s="135">
        <f>(O163+C163+E163+F163+G163+M163)</f>
        <v>1.3948718833551879</v>
      </c>
      <c r="V163" s="348">
        <f ca="1">IFERROR(__xludf.DUMMYFUNCTION("average.weighted(U163,(vlookup(B161,'Lähtötiedot'!C:S,17,0)),U164,0,U165,(vlookup(B161,'Lähtötiedot'!C:S,16,0)))"),1.39487188335518)</f>
        <v>1.3948718833551801</v>
      </c>
      <c r="W163" s="136">
        <f>(U163*((VLOOKUP(B161,Lähtötiedot!C:Q,15,0)/(VLOOKUP(B161,Lähtötiedot!C:L,10,0)))))</f>
        <v>35.242909786790712</v>
      </c>
      <c r="X163" s="348">
        <f ca="1">IFERROR(__xludf.DUMMYFUNCTION("average.weighted(W163,(vlookup(B161,'Lähtötiedot'!C:S,17,0)),W164,0,W165,(vlookup(B161,'Lähtötiedot'!C:S,16,0)))"),35.2429097867907)</f>
        <v>35.242909786790698</v>
      </c>
      <c r="Y163" s="137">
        <f>(B163/U163)</f>
        <v>1.1349800638479709E-2</v>
      </c>
      <c r="Z163" s="137">
        <f>(SUM(U163-B163)/U163)</f>
        <v>0.98865019936152032</v>
      </c>
    </row>
    <row r="164" spans="1:26" ht="14" hidden="1" outlineLevel="1">
      <c r="A164" s="138" t="s">
        <v>254</v>
      </c>
      <c r="B164" s="139">
        <f>((VLOOKUP(B161,'Lähtötiedot - kustannukset'!C:F,4,0))/(VLOOKUP(B161,Lähtötiedot!C:Q,15,0)))</f>
        <v>1.5831517792302106E-2</v>
      </c>
      <c r="C164" s="139">
        <f>((VLOOKUP(B161,Lähtötiedot!C:F,4,0)*'Lähtötiedot - kustannukset'!$F$24))</f>
        <v>3.2404735799334443E-2</v>
      </c>
      <c r="D164" s="139">
        <f>((VLOOKUP(B161,Lähtötiedot!C:G,4,0))*'Kotikonemallien lähtötiedot'!$H$6*'Lähtötiedot - kustannukset'!$F$16)</f>
        <v>6.9071891774891781E-3</v>
      </c>
      <c r="E164" s="139">
        <f>('Kotikonemallien lähtötiedot'!$I$6*(VLOOKUP(B161,Lähtötiedot!C:F,4,0)*'Lähtötiedot - kustannukset'!$F$19))</f>
        <v>8.8267683333333336E-3</v>
      </c>
      <c r="F164" s="139">
        <f>('Kotikonemallien lähtötiedot'!$I$6*(VLOOKUP(B161,Lähtötiedot!C:F,4,0)*'Lähtötiedot - kustannukset'!$F$20))</f>
        <v>1.0458607857142857E-2</v>
      </c>
      <c r="G164" s="139">
        <f>('Kotikonemallien lähtötiedot'!$I$6*(VLOOKUP(B161,Lähtötiedot!C:F,4,0)*'Lähtötiedot - kustannukset'!$F$18))</f>
        <v>7.4174523809523811E-4</v>
      </c>
      <c r="H164" s="139">
        <f>((VLOOKUP(B161,Lähtötiedot!C:F,4,0)*'Lähtötiedot - kustannukset'!$F$25))</f>
        <v>4.0613741024137735E-2</v>
      </c>
      <c r="I164" s="140">
        <f>((VLOOKUP(B161,Lähtötiedot!C:F,4,0)*'Kotikonemallien lähtötiedot'!$M$6*'Lähtötiedot - kustannukset'!$F$16))</f>
        <v>2.5618357142857141E-2</v>
      </c>
      <c r="J164" s="140"/>
      <c r="K164" s="140"/>
      <c r="L164" s="139">
        <f>((VLOOKUP(B161,Lähtötiedot!C:F,4,0)*'Lähtötiedot - kustannukset'!$F$22))</f>
        <v>3.8999999999999998E-3</v>
      </c>
      <c r="M164" s="139">
        <f>((VLOOKUP(B161,Lähtötiedot!C:F,4,0)/'Kotikonemallien lähtötiedot'!$B$6*'Lähtötiedot - kustannukset'!$F$27*'Lähtötiedot - kustannukset'!$F$28))</f>
        <v>0.55604838709677418</v>
      </c>
      <c r="N164" s="141">
        <f>(VLOOKUP(B161,Lähtötiedot!$C$3:$F$13,4,0)*('Lähtötiedot - kustannukset'!$F$73))</f>
        <v>0</v>
      </c>
      <c r="O164" s="142">
        <f>SUM(B164:M164)</f>
        <v>0.7013510494614662</v>
      </c>
      <c r="P164" s="302"/>
      <c r="Q164" s="143">
        <f>(O164*((VLOOKUP(B161,Lähtötiedot!C:Q,15,0)/(VLOOKUP(B161,Lähtötiedot!C:L,10,0)))))</f>
        <v>17.720374222173191</v>
      </c>
      <c r="R164" s="302"/>
      <c r="S164" s="144">
        <f>(B164/O164)</f>
        <v>2.257288672264534E-2</v>
      </c>
      <c r="T164" s="144">
        <f>(SUM(C164:M164)/O164)</f>
        <v>0.97742711327735465</v>
      </c>
      <c r="U164" s="145">
        <f>(O164+C164+E164+F164+G164+M164)</f>
        <v>1.309831293786146</v>
      </c>
      <c r="V164" s="302"/>
      <c r="W164" s="146">
        <f>(U164*((VLOOKUP(B161,Lähtötiedot!C:Q,15,0)/(VLOOKUP(B161,Lähtötiedot!C:L,10,0)))))</f>
        <v>33.094269569605927</v>
      </c>
      <c r="X164" s="302"/>
      <c r="Y164" s="147">
        <f>(B164/U164)</f>
        <v>1.2086684649700308E-2</v>
      </c>
      <c r="Z164" s="147">
        <f>(SUM(U164-B164)/U164)</f>
        <v>0.98791331535029969</v>
      </c>
    </row>
    <row r="165" spans="1:26" ht="14" hidden="1" outlineLevel="1">
      <c r="A165" s="16" t="s">
        <v>255</v>
      </c>
      <c r="B165" s="128">
        <f>((VLOOKUP(B161,'Lähtötiedot - kustannukset'!C:F,4,0))/(VLOOKUP(B161,Lähtötiedot!C:Q,15,0)))</f>
        <v>1.5831517792302106E-2</v>
      </c>
      <c r="C165" s="127"/>
      <c r="D165" s="127"/>
      <c r="E165" s="127"/>
      <c r="F165" s="127"/>
      <c r="G165" s="129"/>
      <c r="H165" s="127"/>
      <c r="I165" s="129"/>
      <c r="J165" s="129"/>
      <c r="K165" s="129"/>
      <c r="L165" s="128">
        <f>((VLOOKUP(B161,Lähtötiedot!C:F,4,0)*'Lähtötiedot - kustannukset'!$F$22))</f>
        <v>3.8999999999999998E-3</v>
      </c>
      <c r="M165" s="127"/>
      <c r="N165" s="148">
        <f>(VLOOKUP(B161,Lähtötiedot!$C$3:$F$13,4,0)*('Lähtötiedot - kustannukset'!$F$73))</f>
        <v>0</v>
      </c>
      <c r="O165" s="131">
        <f>SUM(B165:M165)</f>
        <v>1.9731517792302106E-2</v>
      </c>
      <c r="P165" s="302"/>
      <c r="Q165" s="149">
        <f>(O165*((VLOOKUP(B161,Lähtötiedot!C:Q,15,0)/(VLOOKUP(B161,Lähtötiedot!C:L,10,0)))))</f>
        <v>0.49853761467889912</v>
      </c>
      <c r="R165" s="302"/>
      <c r="S165" s="134">
        <f>(B165/O165)</f>
        <v>0.80234668001457465</v>
      </c>
      <c r="T165" s="134">
        <f>(SUM(C165:M165)/O165)</f>
        <v>0.19765331998542526</v>
      </c>
      <c r="U165" s="150">
        <f>SUM(B165:M165)</f>
        <v>1.9731517792302106E-2</v>
      </c>
      <c r="V165" s="302"/>
      <c r="W165" s="136">
        <f>(U165*((VLOOKUP(B161,Lähtötiedot!C:Q,15,0)/(VLOOKUP(B161,Lähtötiedot!C:L,10,0)))))</f>
        <v>0.49853761467889912</v>
      </c>
      <c r="X165" s="302"/>
      <c r="Y165" s="137">
        <f>(B165/U165)</f>
        <v>0.80234668001457465</v>
      </c>
      <c r="Z165" s="137">
        <f>(SUM(U165-B165)/U165)</f>
        <v>0.19765331998542529</v>
      </c>
    </row>
    <row r="166" spans="1:26" ht="14" hidden="1" outlineLevel="1">
      <c r="A166" s="16"/>
      <c r="B166" s="174"/>
      <c r="C166" s="170"/>
      <c r="D166" s="98"/>
      <c r="E166" s="98"/>
      <c r="F166" s="99"/>
      <c r="G166" s="99"/>
      <c r="H166" s="151"/>
      <c r="I166" s="151"/>
      <c r="J166" s="151"/>
      <c r="K166" s="171"/>
      <c r="L166" s="171"/>
      <c r="M166" s="171"/>
      <c r="N166" s="171"/>
      <c r="O166" s="33"/>
      <c r="P166" s="153"/>
      <c r="Q166" s="103"/>
      <c r="S166" s="33"/>
      <c r="T166" s="33"/>
      <c r="U166" s="33"/>
      <c r="V166" s="33"/>
    </row>
    <row r="167" spans="1:26" ht="26" hidden="1" outlineLevel="1">
      <c r="A167" s="364" t="str">
        <f>(Lähtötiedot!$B$10&amp;": Skenaario: "&amp;B167&amp;" ostettuna, Pesu "&amp;(VLOOKUP(B167,Lähtötiedot!C:S,17,0)&amp;" toimipisteellä, "&amp;(VLOOKUP(B167,Lähtötiedot!C:S,16,0)&amp;" kotona")))</f>
        <v>Toimija 3: Skenaario: toimija 3 vaate 4 ostettuna, Pesu 1 toimipisteellä, 0 kotona</v>
      </c>
      <c r="B167" s="113" t="s">
        <v>271</v>
      </c>
      <c r="C167" s="114" t="str">
        <f>($M$13)</f>
        <v>Pesukerrat vuoden aikana</v>
      </c>
      <c r="D167" s="41">
        <f>(VLOOKUP(B167,Lähtötiedot!$C$3:$Q$36,15,0)/VLOOKUP(B167,Lähtötiedot!$C$3:$Q$36,10,0))</f>
        <v>25.26605504587156</v>
      </c>
      <c r="E167" s="114"/>
      <c r="F167" s="114"/>
      <c r="G167" s="114"/>
      <c r="H167" s="114"/>
      <c r="I167" s="114"/>
      <c r="J167" s="114"/>
      <c r="K167" s="114"/>
      <c r="L167" s="115"/>
      <c r="M167" s="115"/>
      <c r="N167" s="115"/>
      <c r="O167" s="349" t="str">
        <f>($E$14)</f>
        <v>€ / pesuväli</v>
      </c>
      <c r="P167" s="302"/>
      <c r="Q167" s="350" t="str">
        <f>($G$13)</f>
        <v>€ / vuosi</v>
      </c>
      <c r="R167" s="302"/>
      <c r="S167" s="349" t="str">
        <f>($K$13)</f>
        <v>Kustannuksen muodostuminen</v>
      </c>
      <c r="T167" s="302"/>
      <c r="U167" s="345" t="str">
        <f>($E$14)</f>
        <v>€ / pesuväli</v>
      </c>
      <c r="V167" s="302"/>
      <c r="W167" s="346" t="str">
        <f>($G$13)</f>
        <v>€ / vuosi</v>
      </c>
      <c r="X167" s="302"/>
      <c r="Y167" s="347" t="str">
        <f>($K$13)</f>
        <v>Kustannuksen muodostuminen</v>
      </c>
      <c r="Z167" s="302"/>
    </row>
    <row r="168" spans="1:26" ht="28" hidden="1" outlineLevel="1">
      <c r="A168" s="302"/>
      <c r="B168" s="119" t="s">
        <v>244</v>
      </c>
      <c r="C168" s="119" t="s">
        <v>245</v>
      </c>
      <c r="D168" s="119" t="s">
        <v>246</v>
      </c>
      <c r="E168" s="119" t="s">
        <v>247</v>
      </c>
      <c r="F168" s="119" t="s">
        <v>108</v>
      </c>
      <c r="G168" s="119" t="s">
        <v>103</v>
      </c>
      <c r="H168" s="119" t="s">
        <v>248</v>
      </c>
      <c r="I168" s="119" t="s">
        <v>249</v>
      </c>
      <c r="J168" s="119" t="s">
        <v>250</v>
      </c>
      <c r="K168" s="99" t="s">
        <v>251</v>
      </c>
      <c r="L168" s="119" t="s">
        <v>113</v>
      </c>
      <c r="M168" s="119" t="s">
        <v>252</v>
      </c>
      <c r="N168" s="120" t="str">
        <f>($N$13)</f>
        <v>Jätehuolto</v>
      </c>
      <c r="O168" s="121" t="s">
        <v>200</v>
      </c>
      <c r="P168" s="116" t="str">
        <f>($C$14)</f>
        <v>PAINOTETTU KESKIARVO</v>
      </c>
      <c r="Q168" s="112" t="s">
        <v>200</v>
      </c>
      <c r="R168" s="122" t="str">
        <f>($C$14)</f>
        <v>PAINOTETTU KESKIARVO</v>
      </c>
      <c r="S168" s="117" t="str">
        <f>($J$14)</f>
        <v>HANKINTA</v>
      </c>
      <c r="T168" s="117" t="str">
        <f>($K$14)</f>
        <v>HUOLTO</v>
      </c>
      <c r="U168" s="118" t="s">
        <v>200</v>
      </c>
      <c r="V168" s="123" t="str">
        <f>($C$14)</f>
        <v>PAINOTETTU KESKIARVO</v>
      </c>
      <c r="W168" s="124" t="s">
        <v>200</v>
      </c>
      <c r="X168" s="125" t="str">
        <f>($C$14)</f>
        <v>PAINOTETTU KESKIARVO</v>
      </c>
      <c r="Y168" s="126" t="str">
        <f>($J$14)</f>
        <v>HANKINTA</v>
      </c>
      <c r="Z168" s="126" t="str">
        <f>($K$14)</f>
        <v>HUOLTO</v>
      </c>
    </row>
    <row r="169" spans="1:26" ht="12.5" hidden="1" outlineLevel="1">
      <c r="A169" s="16" t="s">
        <v>253</v>
      </c>
      <c r="B169" s="127">
        <f>((VLOOKUP(B167,'Lähtötiedot - kustannukset'!C:F,4,0))/(VLOOKUP(B167,Lähtötiedot!C:Q,15,0)))</f>
        <v>1.5831517792302106E-2</v>
      </c>
      <c r="C169" s="127">
        <f>((VLOOKUP(B167,Lähtötiedot!C:F,4,0)*'Lähtötiedot - kustannukset'!$F$24))</f>
        <v>3.2404735799334443E-2</v>
      </c>
      <c r="D169" s="127">
        <f>((VLOOKUP(B167,Lähtötiedot!C:G,4,0))*'Kotikonemallien lähtötiedot'!$H$6*'Lähtötiedot - kustannukset'!$F$16)</f>
        <v>6.9071891774891781E-3</v>
      </c>
      <c r="E169" s="127">
        <f>('Kotikonemallien lähtötiedot'!$I$6*(VLOOKUP(B167,Lähtötiedot!C:F,4,0)*'Lähtötiedot - kustannukset'!$F$19))</f>
        <v>8.8267683333333336E-3</v>
      </c>
      <c r="F169" s="127">
        <f>('Kotikonemallien lähtötiedot'!$I$6*(VLOOKUP(B167,Lähtötiedot!C:F,4,0)*'Lähtötiedot - kustannukset'!$F$20))</f>
        <v>1.0458607857142857E-2</v>
      </c>
      <c r="G169" s="128">
        <f>('Kotikonemallien lähtötiedot'!$I$6*(VLOOKUP(B167,Lähtötiedot!C:F,4,0)*'Lähtötiedot - kustannukset'!$F$18))</f>
        <v>7.4174523809523811E-4</v>
      </c>
      <c r="H169" s="129"/>
      <c r="I169" s="129"/>
      <c r="J169" s="128">
        <f>((VLOOKUP(B167,Lähtötiedot!C:F,4,0)*'Lähtötiedot - kustannukset'!$F$26))</f>
        <v>0.10634068773603655</v>
      </c>
      <c r="K169" s="128">
        <f>((VLOOKUP(B167,Lähtötiedot!C:F,4,0)*'Kotikonemallien lähtötiedot'!$R$6*'Lähtötiedot - kustannukset'!$F$16))</f>
        <v>4.4931999999999993E-2</v>
      </c>
      <c r="L169" s="127">
        <f>((VLOOKUP(B167,Lähtötiedot!C:F,4,0)*'Lähtötiedot - kustannukset'!$F$22))</f>
        <v>3.8999999999999998E-3</v>
      </c>
      <c r="M169" s="127">
        <f>(((VLOOKUP(B167,Lähtötiedot!C:F,4,0)/'Kotikonemallien lähtötiedot'!$B$6))*('Lähtötiedot - kustannukset'!$F$27*'Lähtötiedot - kustannukset'!$F$28))</f>
        <v>0.55604838709677418</v>
      </c>
      <c r="N169" s="130">
        <f>(VLOOKUP(B167,Lähtötiedot!$C$3:$F$13,4,0)*('Lähtötiedot - kustannukset'!$F$73))</f>
        <v>0</v>
      </c>
      <c r="O169" s="131">
        <f>SUM(B169:N169)</f>
        <v>0.78639163903050791</v>
      </c>
      <c r="P169" s="348">
        <f ca="1">IFERROR(__xludf.DUMMYFUNCTION("average.weighted(O169,(vlookup(B167,'Lähtötiedot'!C:S,17,0)),O170,0,O171,(vlookup(B167,'Lähtötiedot'!C:S,16,0)))"),0.786391639030507)</f>
        <v>0.78639163903050702</v>
      </c>
      <c r="Q169" s="133">
        <f>(O169*((VLOOKUP(B167,Lähtötiedot!C:Q,15,0)/(VLOOKUP(B167,Lähtötiedot!C:L,10,0)))))</f>
        <v>19.869014439357972</v>
      </c>
      <c r="R169" s="348">
        <f ca="1">IFERROR(__xludf.DUMMYFUNCTION("average.weighted(Q169,(vlookup(B167,'Lähtötiedot'!C:S,17,0)),Q170,0,Q171,(vlookup(B167,'Lähtötiedot'!C:S,16,0)))"),19.8690144393579)</f>
        <v>19.869014439357901</v>
      </c>
      <c r="S169" s="134">
        <f>(B169/O169)</f>
        <v>2.0131849076904955E-2</v>
      </c>
      <c r="T169" s="134">
        <f>(SUM(C169:M169)/O169)</f>
        <v>0.97986815092309509</v>
      </c>
      <c r="U169" s="135">
        <f>(O169+C169+E169+F169+G169+M169)</f>
        <v>1.3948718833551879</v>
      </c>
      <c r="V169" s="348">
        <f ca="1">IFERROR(__xludf.DUMMYFUNCTION("average.weighted(U169,(vlookup(B167,'Lähtötiedot'!C:S,17,0)),U170,0,U171,(vlookup(B167,'Lähtötiedot'!C:S,16,0)))"),1.39487188335518)</f>
        <v>1.3948718833551801</v>
      </c>
      <c r="W169" s="136">
        <f>(U169*((VLOOKUP(B167,Lähtötiedot!C:Q,15,0)/(VLOOKUP(B167,Lähtötiedot!C:L,10,0)))))</f>
        <v>35.242909786790712</v>
      </c>
      <c r="X169" s="348">
        <f ca="1">IFERROR(__xludf.DUMMYFUNCTION("average.weighted(W169,(vlookup(B167,'Lähtötiedot'!C:S,17,0)),W170,0,W171,(vlookup(B167,'Lähtötiedot'!C:S,16,0)))"),35.2429097867907)</f>
        <v>35.242909786790698</v>
      </c>
      <c r="Y169" s="137">
        <f>(B169/U169)</f>
        <v>1.1349800638479709E-2</v>
      </c>
      <c r="Z169" s="137">
        <f>(SUM(U169-B169)/U169)</f>
        <v>0.98865019936152032</v>
      </c>
    </row>
    <row r="170" spans="1:26" ht="14" hidden="1" outlineLevel="1">
      <c r="A170" s="138" t="s">
        <v>254</v>
      </c>
      <c r="B170" s="139">
        <f>((VLOOKUP(B167,'Lähtötiedot - kustannukset'!C:F,4,0))/(VLOOKUP(B167,Lähtötiedot!C:Q,15,0)))</f>
        <v>1.5831517792302106E-2</v>
      </c>
      <c r="C170" s="139">
        <f>((VLOOKUP(B167,Lähtötiedot!C:F,4,0)*'Lähtötiedot - kustannukset'!$F$24))</f>
        <v>3.2404735799334443E-2</v>
      </c>
      <c r="D170" s="139">
        <f>((VLOOKUP(B167,Lähtötiedot!C:G,4,0))*'Kotikonemallien lähtötiedot'!$H$6*'Lähtötiedot - kustannukset'!$F$16)</f>
        <v>6.9071891774891781E-3</v>
      </c>
      <c r="E170" s="139">
        <f>('Kotikonemallien lähtötiedot'!$I$6*(VLOOKUP(B167,Lähtötiedot!C:F,4,0)*'Lähtötiedot - kustannukset'!$F$19))</f>
        <v>8.8267683333333336E-3</v>
      </c>
      <c r="F170" s="139">
        <f>('Kotikonemallien lähtötiedot'!$I$6*(VLOOKUP(B167,Lähtötiedot!C:F,4,0)*'Lähtötiedot - kustannukset'!$F$20))</f>
        <v>1.0458607857142857E-2</v>
      </c>
      <c r="G170" s="139">
        <f>('Kotikonemallien lähtötiedot'!$I$6*(VLOOKUP(B167,Lähtötiedot!C:F,4,0)*'Lähtötiedot - kustannukset'!$F$18))</f>
        <v>7.4174523809523811E-4</v>
      </c>
      <c r="H170" s="139">
        <f>((VLOOKUP(B167,Lähtötiedot!C:F,4,0)*'Lähtötiedot - kustannukset'!$F$25))</f>
        <v>4.0613741024137735E-2</v>
      </c>
      <c r="I170" s="140">
        <f>((VLOOKUP(B167,Lähtötiedot!C:F,4,0)*'Kotikonemallien lähtötiedot'!$M$6*'Lähtötiedot - kustannukset'!$F$16))</f>
        <v>2.5618357142857141E-2</v>
      </c>
      <c r="J170" s="140"/>
      <c r="K170" s="140"/>
      <c r="L170" s="139">
        <f>((VLOOKUP(B167,Lähtötiedot!C:F,4,0)*'Lähtötiedot - kustannukset'!$F$22))</f>
        <v>3.8999999999999998E-3</v>
      </c>
      <c r="M170" s="139">
        <f>((VLOOKUP(B167,Lähtötiedot!C:F,4,0)/'Kotikonemallien lähtötiedot'!$B$6*'Lähtötiedot - kustannukset'!$F$27*'Lähtötiedot - kustannukset'!$F$28))</f>
        <v>0.55604838709677418</v>
      </c>
      <c r="N170" s="141">
        <f>(VLOOKUP(B167,Lähtötiedot!$C$3:$F$13,4,0)*('Lähtötiedot - kustannukset'!$F$73))</f>
        <v>0</v>
      </c>
      <c r="O170" s="142">
        <f>SUM(B170:M170)</f>
        <v>0.7013510494614662</v>
      </c>
      <c r="P170" s="302"/>
      <c r="Q170" s="143">
        <f>(O170*((VLOOKUP(B167,Lähtötiedot!C:Q,15,0)/(VLOOKUP(B167,Lähtötiedot!C:L,10,0)))))</f>
        <v>17.720374222173191</v>
      </c>
      <c r="R170" s="302"/>
      <c r="S170" s="144">
        <f>(B170/O170)</f>
        <v>2.257288672264534E-2</v>
      </c>
      <c r="T170" s="144">
        <f>(SUM(C170:M170)/O170)</f>
        <v>0.97742711327735465</v>
      </c>
      <c r="U170" s="145">
        <f>(O170+C170+E170+F170+G170+M170)</f>
        <v>1.309831293786146</v>
      </c>
      <c r="V170" s="302"/>
      <c r="W170" s="146">
        <f>(U170*((VLOOKUP(B167,Lähtötiedot!C:Q,15,0)/(VLOOKUP(B167,Lähtötiedot!C:L,10,0)))))</f>
        <v>33.094269569605927</v>
      </c>
      <c r="X170" s="302"/>
      <c r="Y170" s="147">
        <f>(B170/U170)</f>
        <v>1.2086684649700308E-2</v>
      </c>
      <c r="Z170" s="147">
        <f>(SUM(U170-B170)/U170)</f>
        <v>0.98791331535029969</v>
      </c>
    </row>
    <row r="171" spans="1:26" ht="14" hidden="1" outlineLevel="1">
      <c r="A171" s="16" t="s">
        <v>255</v>
      </c>
      <c r="B171" s="128">
        <f>((VLOOKUP(B167,'Lähtötiedot - kustannukset'!C:F,4,0))/(VLOOKUP(B167,Lähtötiedot!C:Q,15,0)))</f>
        <v>1.5831517792302106E-2</v>
      </c>
      <c r="C171" s="127"/>
      <c r="D171" s="127"/>
      <c r="E171" s="127"/>
      <c r="F171" s="127"/>
      <c r="G171" s="129"/>
      <c r="H171" s="127"/>
      <c r="I171" s="129"/>
      <c r="J171" s="129"/>
      <c r="K171" s="129"/>
      <c r="L171" s="128">
        <f>((VLOOKUP(B167,Lähtötiedot!C:F,4,0)*'Lähtötiedot - kustannukset'!$F$22))</f>
        <v>3.8999999999999998E-3</v>
      </c>
      <c r="M171" s="127"/>
      <c r="N171" s="148">
        <f>(VLOOKUP(B167,Lähtötiedot!$C$3:$F$13,4,0)*('Lähtötiedot - kustannukset'!$F$73))</f>
        <v>0</v>
      </c>
      <c r="O171" s="131">
        <f>SUM(B171:M171)</f>
        <v>1.9731517792302106E-2</v>
      </c>
      <c r="P171" s="302"/>
      <c r="Q171" s="149">
        <f>(O171*((VLOOKUP(B167,Lähtötiedot!C:Q,15,0)/(VLOOKUP(B167,Lähtötiedot!C:L,10,0)))))</f>
        <v>0.49853761467889912</v>
      </c>
      <c r="R171" s="302"/>
      <c r="S171" s="134">
        <f>(B171/O171)</f>
        <v>0.80234668001457465</v>
      </c>
      <c r="T171" s="134">
        <f>(SUM(C171:M171)/O171)</f>
        <v>0.19765331998542526</v>
      </c>
      <c r="U171" s="150">
        <f>SUM(B171:M171)</f>
        <v>1.9731517792302106E-2</v>
      </c>
      <c r="V171" s="302"/>
      <c r="W171" s="136">
        <f>(U171*((VLOOKUP(B167,Lähtötiedot!C:Q,15,0)/(VLOOKUP(B167,Lähtötiedot!C:L,10,0)))))</f>
        <v>0.49853761467889912</v>
      </c>
      <c r="X171" s="302"/>
      <c r="Y171" s="137">
        <f>(B171/U171)</f>
        <v>0.80234668001457465</v>
      </c>
      <c r="Z171" s="137">
        <f>(SUM(U171-B171)/U171)</f>
        <v>0.19765331998542529</v>
      </c>
    </row>
    <row r="172" spans="1:26" ht="14" hidden="1" outlineLevel="1">
      <c r="A172" s="16"/>
      <c r="B172" s="174"/>
      <c r="C172" s="170"/>
      <c r="D172" s="98"/>
      <c r="E172" s="98"/>
      <c r="F172" s="99"/>
      <c r="G172" s="99"/>
      <c r="H172" s="151"/>
      <c r="I172" s="151"/>
      <c r="J172" s="151"/>
      <c r="K172" s="171"/>
      <c r="L172" s="171"/>
      <c r="M172" s="171"/>
      <c r="N172" s="171"/>
      <c r="O172" s="33"/>
      <c r="P172" s="176"/>
      <c r="Q172" s="103"/>
      <c r="S172" s="33"/>
      <c r="T172" s="33"/>
      <c r="U172" s="33"/>
      <c r="V172" s="33"/>
    </row>
    <row r="173" spans="1:26" ht="14">
      <c r="A173" s="173"/>
      <c r="B173" s="174"/>
      <c r="C173" s="170"/>
      <c r="D173" s="98"/>
      <c r="E173" s="98"/>
      <c r="F173" s="99"/>
      <c r="G173" s="99"/>
      <c r="H173" s="151"/>
      <c r="I173" s="151"/>
      <c r="J173" s="151"/>
      <c r="K173" s="171"/>
      <c r="L173" s="171"/>
      <c r="M173" s="171"/>
      <c r="N173" s="171"/>
      <c r="O173" s="33"/>
      <c r="P173" s="176"/>
      <c r="Q173" s="103"/>
      <c r="S173" s="33"/>
      <c r="T173" s="33"/>
      <c r="U173" s="33"/>
      <c r="V173" s="33"/>
    </row>
    <row r="174" spans="1:26" ht="26">
      <c r="A174" s="173" t="str">
        <f>(Lähtötiedot!B10&amp;", skenaario: tuotteet ostettuna, pesu pesulassa")</f>
        <v>Toimija 3, skenaario: tuotteet ostettuna, pesu pesulassa</v>
      </c>
      <c r="B174" s="174"/>
      <c r="C174" s="170"/>
      <c r="D174" s="98"/>
      <c r="E174" s="98"/>
      <c r="F174" s="99"/>
      <c r="G174" s="99"/>
      <c r="H174" s="151"/>
      <c r="I174" s="151"/>
      <c r="J174" s="151"/>
      <c r="K174" s="171"/>
      <c r="L174" s="171"/>
      <c r="M174" s="171"/>
      <c r="N174" s="171"/>
      <c r="O174" s="33"/>
      <c r="P174" s="176"/>
      <c r="Q174" s="103"/>
      <c r="S174" s="33"/>
      <c r="T174" s="33"/>
      <c r="U174" s="33"/>
      <c r="V174" s="33"/>
    </row>
    <row r="175" spans="1:26" ht="26" outlineLevel="1">
      <c r="A175" s="365" t="str">
        <f>((Lähtötiedot!$B$10&amp;"     "&amp;B175))</f>
        <v>Toimija 3     toimija 3 vaate 1</v>
      </c>
      <c r="B175" s="177" t="s">
        <v>268</v>
      </c>
      <c r="C175" s="156" t="str">
        <f>($M$13)</f>
        <v>Pesukerrat vuoden aikana</v>
      </c>
      <c r="D175" s="157">
        <f>(VLOOKUP(B175,Lähtötiedot!$C$3:$Q$36,15,0)/VLOOKUP(B175,Lähtötiedot!$C$3:$Q$36,10,0))</f>
        <v>25.26605504587156</v>
      </c>
      <c r="E175" s="177"/>
      <c r="F175" s="178"/>
      <c r="G175" s="178"/>
      <c r="H175" s="178"/>
      <c r="I175" s="156"/>
      <c r="J175" s="156"/>
      <c r="K175" s="178"/>
      <c r="L175" s="178"/>
      <c r="M175" s="178"/>
      <c r="N175" s="178"/>
      <c r="O175" s="351" t="str">
        <f>($E$14)</f>
        <v>€ / pesuväli</v>
      </c>
      <c r="P175" s="302"/>
      <c r="Q175" s="351" t="str">
        <f>($G$13)</f>
        <v>€ / vuosi</v>
      </c>
      <c r="R175" s="302"/>
      <c r="S175" s="352" t="str">
        <f>($K$13)</f>
        <v>Kustannuksen muodostuminen</v>
      </c>
      <c r="T175" s="302"/>
      <c r="U175" s="33"/>
      <c r="V175" s="33"/>
    </row>
    <row r="176" spans="1:26" ht="26" outlineLevel="1">
      <c r="A176" s="302"/>
      <c r="B176" s="99" t="s">
        <v>244</v>
      </c>
      <c r="C176" s="119" t="s">
        <v>258</v>
      </c>
      <c r="D176" s="119" t="s">
        <v>259</v>
      </c>
      <c r="E176" s="119" t="s">
        <v>266</v>
      </c>
      <c r="F176" s="119"/>
      <c r="G176" s="119"/>
      <c r="H176" s="119"/>
      <c r="I176" s="119"/>
      <c r="J176" s="99"/>
      <c r="K176" s="119"/>
      <c r="L176" s="119"/>
      <c r="M176" s="119"/>
      <c r="N176" s="120" t="str">
        <f>($N$13)</f>
        <v>Jätehuolto</v>
      </c>
      <c r="O176" s="353" t="s">
        <v>200</v>
      </c>
      <c r="P176" s="302"/>
      <c r="Q176" s="353" t="s">
        <v>200</v>
      </c>
      <c r="R176" s="302"/>
      <c r="S176" s="162" t="str">
        <f>($J$14)</f>
        <v>HANKINTA</v>
      </c>
      <c r="T176" s="162" t="str">
        <f>($K$14)</f>
        <v>HUOLTO</v>
      </c>
      <c r="U176" s="33"/>
      <c r="V176" s="33"/>
    </row>
    <row r="177" spans="1:22" ht="14" outlineLevel="1">
      <c r="A177" s="22" t="str">
        <f>('Palveluntarjoajien lähtötiedot'!A8)</f>
        <v>PESULA 1</v>
      </c>
      <c r="B177" s="135">
        <f>(VLOOKUP(B175,'Lähtötiedot - kustannukset'!$C$2:$F$14,4,0)/(VLOOKUP(B175,Lähtötiedot!$C$3:$Q$13,15,0)))</f>
        <v>1.5831517792302106E-2</v>
      </c>
      <c r="C177" s="135">
        <f>((VLOOKUP(A177,'Lähtötiedot - kustannukset'!$B$77:$G$80,5,0)*(VLOOKUP(B175,Lähtötiedot!$C$3:$G$13,4,0))))</f>
        <v>0</v>
      </c>
      <c r="D177" s="135">
        <f>(VLOOKUP("*"&amp;B175&amp;"*",'Lähtötiedot - kustannukset'!$C$30:$F$44,4,0))</f>
        <v>0</v>
      </c>
      <c r="E177" s="135">
        <f>((VLOOKUP(A177,'Lähtötiedot - kustannukset'!$B$77:$G$80,5,0)*(VLOOKUP(B175,Lähtötiedot!$C$3:$G$13,4,0))))</f>
        <v>0</v>
      </c>
      <c r="F177" s="170"/>
      <c r="G177" s="171"/>
      <c r="H177" s="171"/>
      <c r="I177" s="170"/>
      <c r="J177" s="170"/>
      <c r="K177" s="170"/>
      <c r="L177" s="170"/>
      <c r="M177" s="170"/>
      <c r="N177" s="135">
        <f>(VLOOKUP(B175,Lähtötiedot!$C$3:$F$13,4,0)*('Lähtötiedot - kustannukset'!$F$73))</f>
        <v>0</v>
      </c>
      <c r="O177" s="369">
        <f>SUM(B177:N177)</f>
        <v>1.5831517792302106E-2</v>
      </c>
      <c r="P177" s="302"/>
      <c r="Q177" s="368">
        <f>(O177*D175)</f>
        <v>0.4</v>
      </c>
      <c r="R177" s="302"/>
      <c r="S177" s="134">
        <f>(B177/O177)</f>
        <v>1</v>
      </c>
      <c r="T177" s="134">
        <f>(SUM(C177:L177)/O177)</f>
        <v>0</v>
      </c>
      <c r="U177" s="33"/>
      <c r="V177" s="33"/>
    </row>
    <row r="178" spans="1:22" ht="12.5" outlineLevel="1">
      <c r="A178" s="26" t="str">
        <f>('Palveluntarjoajien lähtötiedot'!A9)</f>
        <v>PESULA 2</v>
      </c>
      <c r="B178" s="135">
        <f>(VLOOKUP(B175,'Lähtötiedot - kustannukset'!$C$2:$F$14,4,0)/(VLOOKUP(B175,Lähtötiedot!$C$3:$Q$13,15,0)))</f>
        <v>1.5831517792302106E-2</v>
      </c>
      <c r="C178" s="135">
        <f>((VLOOKUP(A178,'Lähtötiedot - kustannukset'!$B$77:$G$80,5,0)*(VLOOKUP(B175,Lähtötiedot!$C$3:$G$13,4,0))))</f>
        <v>0</v>
      </c>
      <c r="D178" s="135">
        <f>(VLOOKUP("*"&amp;B175&amp;"*",'Lähtötiedot - kustannukset'!$C$44:$G$56,4,0))</f>
        <v>0</v>
      </c>
      <c r="E178" s="135">
        <f>((VLOOKUP(A178,'Lähtötiedot - kustannukset'!$B$77:$G$80,5,0)*(VLOOKUP(B175,Lähtötiedot!$C$3:$G$13,4,0))))</f>
        <v>0</v>
      </c>
      <c r="F178" s="152"/>
      <c r="G178" s="152"/>
      <c r="H178" s="152"/>
      <c r="I178" s="152"/>
      <c r="J178" s="152"/>
      <c r="K178" s="152"/>
      <c r="L178" s="152"/>
      <c r="M178" s="152"/>
      <c r="N178" s="135">
        <f>(VLOOKUP(B175,Lähtötiedot!$C$3:$F$13,4,0)*('Lähtötiedot - kustannukset'!$F$73))</f>
        <v>0</v>
      </c>
      <c r="O178" s="7"/>
      <c r="P178" s="197"/>
      <c r="Q178" s="103"/>
      <c r="S178" s="7"/>
      <c r="T178" s="7"/>
      <c r="U178" s="7"/>
      <c r="V178" s="7"/>
    </row>
    <row r="179" spans="1:22" ht="12.5" outlineLevel="1">
      <c r="A179" s="26" t="str">
        <f>('Palveluntarjoajien lähtötiedot'!A10)</f>
        <v>PESULA 3</v>
      </c>
      <c r="B179" s="135">
        <f>(VLOOKUP(B175,'Lähtötiedot - kustannukset'!$C$2:$F$14,4,0)/(VLOOKUP(B175,Lähtötiedot!$C$3:$Q$13,15,0)))</f>
        <v>1.5831517792302106E-2</v>
      </c>
      <c r="C179" s="135">
        <f>((VLOOKUP(A179,'Lähtötiedot - kustannukset'!$B$77:$G$80,5,0)*(VLOOKUP(B175,Lähtötiedot!$C$3:$G$13,4,0))))</f>
        <v>0</v>
      </c>
      <c r="D179" s="135">
        <f>(VLOOKUP("*"&amp;B175&amp;"*",'Lähtötiedot - kustannukset'!$C$58:$F$70,4,0))</f>
        <v>0</v>
      </c>
      <c r="E179" s="135">
        <f>((VLOOKUP(A179,'Lähtötiedot - kustannukset'!$B$77:$G$80,5,0)*(VLOOKUP(B175,Lähtötiedot!$C$3:$G$13,4,0))))</f>
        <v>0</v>
      </c>
      <c r="F179" s="152"/>
      <c r="G179" s="152"/>
      <c r="H179" s="152"/>
      <c r="I179" s="152"/>
      <c r="J179" s="152"/>
      <c r="K179" s="152"/>
      <c r="L179" s="152"/>
      <c r="M179" s="152"/>
      <c r="N179" s="135">
        <f>(VLOOKUP(B175,Lähtötiedot!$C$3:$F$13,4,0)*('Lähtötiedot - kustannukset'!$F$73))</f>
        <v>0</v>
      </c>
      <c r="O179" s="7"/>
      <c r="P179" s="197"/>
      <c r="Q179" s="103"/>
      <c r="S179" s="7"/>
      <c r="T179" s="7"/>
      <c r="U179" s="7"/>
      <c r="V179" s="7"/>
    </row>
    <row r="180" spans="1:22" ht="12.5" outlineLevel="1">
      <c r="B180" s="152"/>
      <c r="C180" s="152"/>
      <c r="D180" s="152"/>
      <c r="E180" s="152"/>
      <c r="F180" s="152"/>
      <c r="G180" s="152"/>
      <c r="H180" s="152"/>
      <c r="I180" s="152"/>
      <c r="J180" s="152"/>
      <c r="K180" s="152"/>
      <c r="L180" s="152"/>
      <c r="M180" s="152"/>
      <c r="N180" s="152"/>
      <c r="O180" s="7"/>
      <c r="P180" s="197"/>
      <c r="Q180" s="103"/>
      <c r="S180" s="7"/>
      <c r="T180" s="7"/>
      <c r="U180" s="7"/>
      <c r="V180" s="7"/>
    </row>
    <row r="181" spans="1:22" ht="26" outlineLevel="1">
      <c r="A181" s="365" t="str">
        <f>((Lähtötiedot!$B$10&amp;"     "&amp;B181))</f>
        <v>Toimija 3     toimija 3 vaate 2</v>
      </c>
      <c r="B181" s="177" t="s">
        <v>269</v>
      </c>
      <c r="C181" s="156" t="str">
        <f>($M$13)</f>
        <v>Pesukerrat vuoden aikana</v>
      </c>
      <c r="D181" s="157">
        <f>(VLOOKUP(B181,Lähtötiedot!$C$3:$Q$36,15,0)/VLOOKUP(B181,Lähtötiedot!$C$3:$Q$36,10,0))</f>
        <v>25.26605504587156</v>
      </c>
      <c r="E181" s="177"/>
      <c r="F181" s="178"/>
      <c r="G181" s="178"/>
      <c r="H181" s="178"/>
      <c r="I181" s="156"/>
      <c r="J181" s="156"/>
      <c r="K181" s="178"/>
      <c r="L181" s="178"/>
      <c r="M181" s="178"/>
      <c r="N181" s="178"/>
      <c r="O181" s="351" t="str">
        <f>($E$14)</f>
        <v>€ / pesuväli</v>
      </c>
      <c r="P181" s="302"/>
      <c r="Q181" s="351" t="str">
        <f>($G$13)</f>
        <v>€ / vuosi</v>
      </c>
      <c r="R181" s="302"/>
      <c r="S181" s="352" t="str">
        <f>($K$13)</f>
        <v>Kustannuksen muodostuminen</v>
      </c>
      <c r="T181" s="302"/>
      <c r="U181" s="7"/>
      <c r="V181" s="7"/>
    </row>
    <row r="182" spans="1:22" ht="26" outlineLevel="1">
      <c r="A182" s="302"/>
      <c r="B182" s="99" t="s">
        <v>244</v>
      </c>
      <c r="C182" s="119" t="s">
        <v>258</v>
      </c>
      <c r="D182" s="119" t="s">
        <v>259</v>
      </c>
      <c r="E182" s="119" t="s">
        <v>266</v>
      </c>
      <c r="F182" s="119"/>
      <c r="G182" s="119"/>
      <c r="H182" s="119"/>
      <c r="I182" s="119"/>
      <c r="J182" s="99"/>
      <c r="K182" s="119"/>
      <c r="L182" s="119"/>
      <c r="M182" s="119"/>
      <c r="N182" s="120" t="str">
        <f>($N$13)</f>
        <v>Jätehuolto</v>
      </c>
      <c r="O182" s="353" t="s">
        <v>200</v>
      </c>
      <c r="P182" s="302"/>
      <c r="Q182" s="353" t="s">
        <v>200</v>
      </c>
      <c r="R182" s="302"/>
      <c r="S182" s="162" t="str">
        <f>($J$14)</f>
        <v>HANKINTA</v>
      </c>
      <c r="T182" s="162" t="str">
        <f>($K$14)</f>
        <v>HUOLTO</v>
      </c>
      <c r="U182" s="7"/>
      <c r="V182" s="7"/>
    </row>
    <row r="183" spans="1:22" ht="14" outlineLevel="1">
      <c r="A183" s="165" t="str">
        <f>('Palveluntarjoajien lähtötiedot'!A8)</f>
        <v>PESULA 1</v>
      </c>
      <c r="B183" s="135">
        <f>(VLOOKUP(B181,'Lähtötiedot - kustannukset'!$C$2:$F$14,4,0)/(VLOOKUP(B181,Lähtötiedot!$C$3:$Q$13,15,0)))</f>
        <v>1.5831517792302106E-2</v>
      </c>
      <c r="C183" s="135">
        <f>((VLOOKUP(A183,'Lähtötiedot - kustannukset'!$B$77:$G$80,5,0)*(VLOOKUP(B181,Lähtötiedot!$C$3:$G$13,4,0))))</f>
        <v>0</v>
      </c>
      <c r="D183" s="135">
        <f>(VLOOKUP("*"&amp;B181&amp;"*",'Lähtötiedot - kustannukset'!$C$30:$F$44,4,0))</f>
        <v>0</v>
      </c>
      <c r="E183" s="135">
        <f>((VLOOKUP(A183,'Lähtötiedot - kustannukset'!$B$77:$G$80,5,0)*(VLOOKUP(B181,Lähtötiedot!$C$3:$G$13,4,0))))</f>
        <v>0</v>
      </c>
      <c r="F183" s="170"/>
      <c r="G183" s="171"/>
      <c r="H183" s="171"/>
      <c r="I183" s="170"/>
      <c r="J183" s="170"/>
      <c r="K183" s="170"/>
      <c r="L183" s="170"/>
      <c r="M183" s="170"/>
      <c r="N183" s="135">
        <f>(VLOOKUP(B181,Lähtötiedot!$C$3:$F$13,4,0)*('Lähtötiedot - kustannukset'!$F$73))</f>
        <v>0</v>
      </c>
      <c r="O183" s="369">
        <f>SUM(B183:N183)</f>
        <v>1.5831517792302106E-2</v>
      </c>
      <c r="P183" s="302"/>
      <c r="Q183" s="368">
        <f>(O183*D181)</f>
        <v>0.4</v>
      </c>
      <c r="R183" s="302"/>
      <c r="S183" s="134">
        <f>(B183/O183)</f>
        <v>1</v>
      </c>
      <c r="T183" s="134">
        <f>(SUM(C183:L183)/O183)</f>
        <v>0</v>
      </c>
      <c r="U183" s="7"/>
      <c r="V183" s="7"/>
    </row>
    <row r="184" spans="1:22" ht="14" outlineLevel="1">
      <c r="A184" s="198" t="str">
        <f>('Palveluntarjoajien lähtötiedot'!A9)</f>
        <v>PESULA 2</v>
      </c>
      <c r="B184" s="135">
        <f>(VLOOKUP(B181,'Lähtötiedot - kustannukset'!$C$2:$F$14,4,0)/(VLOOKUP(B181,Lähtötiedot!$C$3:$Q$13,15,0)))</f>
        <v>1.5831517792302106E-2</v>
      </c>
      <c r="C184" s="135">
        <f>((VLOOKUP(A184,'Lähtötiedot - kustannukset'!$B$77:$G$80,5,0)*(VLOOKUP(B181,Lähtötiedot!$C$3:$G$13,4,0))))</f>
        <v>0</v>
      </c>
      <c r="D184" s="135">
        <f>(VLOOKUP("*"&amp;B181&amp;"*",'Lähtötiedot - kustannukset'!$C$44:$G$56,4,0))</f>
        <v>0</v>
      </c>
      <c r="E184" s="135">
        <f>((VLOOKUP(A184,'Lähtötiedot - kustannukset'!$B$77:$G$80,5,0)*(VLOOKUP(B181,Lähtötiedot!$C$3:$G$13,4,0))))</f>
        <v>0</v>
      </c>
      <c r="F184" s="152"/>
      <c r="G184" s="152"/>
      <c r="H184" s="152"/>
      <c r="I184" s="152"/>
      <c r="J184" s="152"/>
      <c r="K184" s="152"/>
      <c r="L184" s="152"/>
      <c r="M184" s="152"/>
      <c r="N184" s="135">
        <f>(VLOOKUP(B181,Lähtötiedot!$C$3:$F$13,4,0)*('Lähtötiedot - kustannukset'!$F$73))</f>
        <v>0</v>
      </c>
      <c r="O184" s="7"/>
      <c r="P184" s="197"/>
      <c r="Q184" s="103"/>
      <c r="S184" s="7"/>
      <c r="T184" s="7"/>
      <c r="U184" s="7"/>
      <c r="V184" s="7"/>
    </row>
    <row r="185" spans="1:22" ht="14" outlineLevel="1">
      <c r="A185" s="198" t="str">
        <f>('Palveluntarjoajien lähtötiedot'!A10)</f>
        <v>PESULA 3</v>
      </c>
      <c r="B185" s="135">
        <f>(VLOOKUP(B181,'Lähtötiedot - kustannukset'!$C$2:$F$14,4,0)/(VLOOKUP(B181,Lähtötiedot!$C$3:$Q$13,15,0)))</f>
        <v>1.5831517792302106E-2</v>
      </c>
      <c r="C185" s="135">
        <f>((VLOOKUP(A185,'Lähtötiedot - kustannukset'!$B$77:$G$80,5,0)*(VLOOKUP(B181,Lähtötiedot!$C$3:$G$13,4,0))))</f>
        <v>0</v>
      </c>
      <c r="D185" s="135">
        <f>(VLOOKUP("*"&amp;B181&amp;"*",'Lähtötiedot - kustannukset'!$C$58:$F$70,4,0))</f>
        <v>0</v>
      </c>
      <c r="E185" s="135">
        <f>((VLOOKUP(A185,'Lähtötiedot - kustannukset'!$B$77:$G$80,5,0)*(VLOOKUP(B181,Lähtötiedot!$C$3:$G$13,4,0))))</f>
        <v>0</v>
      </c>
      <c r="F185" s="152"/>
      <c r="G185" s="152"/>
      <c r="H185" s="152"/>
      <c r="I185" s="152"/>
      <c r="J185" s="152"/>
      <c r="K185" s="152"/>
      <c r="L185" s="152"/>
      <c r="M185" s="152"/>
      <c r="N185" s="135">
        <f>(VLOOKUP(B181,Lähtötiedot!$C$3:$F$13,4,0)*('Lähtötiedot - kustannukset'!$F$73))</f>
        <v>0</v>
      </c>
      <c r="O185" s="7"/>
      <c r="P185" s="197"/>
      <c r="Q185" s="103"/>
      <c r="S185" s="7"/>
      <c r="T185" s="7"/>
      <c r="U185" s="7"/>
      <c r="V185" s="7"/>
    </row>
    <row r="186" spans="1:22" ht="12.5" outlineLevel="1">
      <c r="B186" s="152"/>
      <c r="C186" s="152"/>
      <c r="D186" s="152"/>
      <c r="E186" s="152"/>
      <c r="F186" s="152"/>
      <c r="G186" s="152"/>
      <c r="H186" s="152"/>
      <c r="I186" s="152"/>
      <c r="J186" s="152"/>
      <c r="K186" s="152"/>
      <c r="L186" s="152"/>
      <c r="M186" s="152"/>
      <c r="N186" s="152"/>
      <c r="O186" s="7"/>
      <c r="P186" s="197"/>
      <c r="Q186" s="103"/>
      <c r="S186" s="7"/>
      <c r="T186" s="7"/>
      <c r="U186" s="7"/>
      <c r="V186" s="7"/>
    </row>
    <row r="187" spans="1:22" ht="26" outlineLevel="1">
      <c r="A187" s="365" t="str">
        <f>((Lähtötiedot!$B$10&amp;"     "&amp;B187))</f>
        <v>Toimija 3     toimija 3 vaate 3</v>
      </c>
      <c r="B187" s="177" t="s">
        <v>270</v>
      </c>
      <c r="C187" s="156" t="str">
        <f>($M$13)</f>
        <v>Pesukerrat vuoden aikana</v>
      </c>
      <c r="D187" s="157">
        <f>(VLOOKUP(B187,Lähtötiedot!$C$3:$Q$36,15,0)/VLOOKUP(B187,Lähtötiedot!$C$3:$Q$36,10,0))</f>
        <v>25.26605504587156</v>
      </c>
      <c r="E187" s="177"/>
      <c r="F187" s="178"/>
      <c r="G187" s="178"/>
      <c r="H187" s="178"/>
      <c r="I187" s="156"/>
      <c r="J187" s="156"/>
      <c r="K187" s="178"/>
      <c r="L187" s="178"/>
      <c r="M187" s="178"/>
      <c r="N187" s="178"/>
      <c r="O187" s="351" t="str">
        <f>($E$14)</f>
        <v>€ / pesuväli</v>
      </c>
      <c r="P187" s="302"/>
      <c r="Q187" s="351" t="str">
        <f>($G$13)</f>
        <v>€ / vuosi</v>
      </c>
      <c r="R187" s="302"/>
      <c r="S187" s="352" t="str">
        <f>($K$13)</f>
        <v>Kustannuksen muodostuminen</v>
      </c>
      <c r="T187" s="302"/>
      <c r="U187" s="7"/>
      <c r="V187" s="7"/>
    </row>
    <row r="188" spans="1:22" ht="26" outlineLevel="1">
      <c r="A188" s="302"/>
      <c r="B188" s="99" t="s">
        <v>244</v>
      </c>
      <c r="C188" s="119" t="s">
        <v>258</v>
      </c>
      <c r="D188" s="119" t="s">
        <v>259</v>
      </c>
      <c r="E188" s="119" t="s">
        <v>266</v>
      </c>
      <c r="F188" s="119"/>
      <c r="G188" s="119"/>
      <c r="H188" s="119"/>
      <c r="I188" s="119"/>
      <c r="J188" s="99"/>
      <c r="K188" s="119"/>
      <c r="L188" s="119"/>
      <c r="M188" s="119"/>
      <c r="N188" s="120" t="str">
        <f>($N$13)</f>
        <v>Jätehuolto</v>
      </c>
      <c r="O188" s="353" t="s">
        <v>200</v>
      </c>
      <c r="P188" s="302"/>
      <c r="Q188" s="353" t="s">
        <v>200</v>
      </c>
      <c r="R188" s="302"/>
      <c r="S188" s="162" t="str">
        <f>($J$14)</f>
        <v>HANKINTA</v>
      </c>
      <c r="T188" s="162" t="str">
        <f>($K$14)</f>
        <v>HUOLTO</v>
      </c>
      <c r="U188" s="7"/>
      <c r="V188" s="7"/>
    </row>
    <row r="189" spans="1:22" ht="14" outlineLevel="1">
      <c r="A189" s="165" t="str">
        <f>('Palveluntarjoajien lähtötiedot'!A8)</f>
        <v>PESULA 1</v>
      </c>
      <c r="B189" s="135">
        <f>(VLOOKUP(B187,'Lähtötiedot - kustannukset'!$C$2:$F$14,4,0)/(VLOOKUP(B187,Lähtötiedot!$C$3:$Q$13,15,0)))</f>
        <v>1.5831517792302106E-2</v>
      </c>
      <c r="C189" s="135">
        <f>((VLOOKUP(A189,'Lähtötiedot - kustannukset'!$B$77:$G$80,5,0)*(VLOOKUP(B187,Lähtötiedot!$C$3:$G$13,4,0))))</f>
        <v>0</v>
      </c>
      <c r="D189" s="135">
        <f>(VLOOKUP("*"&amp;B187&amp;"*",'Lähtötiedot - kustannukset'!$C$30:$F$44,4,0))</f>
        <v>0</v>
      </c>
      <c r="E189" s="135">
        <f>((VLOOKUP(A189,'Lähtötiedot - kustannukset'!$B$77:$G$80,5,0)*(VLOOKUP(B187,Lähtötiedot!$C$3:$G$13,4,0))))</f>
        <v>0</v>
      </c>
      <c r="F189" s="170"/>
      <c r="G189" s="171"/>
      <c r="H189" s="171"/>
      <c r="I189" s="170"/>
      <c r="J189" s="170"/>
      <c r="K189" s="170"/>
      <c r="L189" s="170"/>
      <c r="M189" s="170"/>
      <c r="N189" s="135">
        <f>(VLOOKUP(B187,Lähtötiedot!$C$3:$F$13,4,0)*('Lähtötiedot - kustannukset'!$F$73))</f>
        <v>0</v>
      </c>
      <c r="O189" s="369">
        <f>SUM(B189:N189)</f>
        <v>1.5831517792302106E-2</v>
      </c>
      <c r="P189" s="302"/>
      <c r="Q189" s="368">
        <f>(O189*D187)</f>
        <v>0.4</v>
      </c>
      <c r="R189" s="302"/>
      <c r="S189" s="134">
        <f>(B189/O189)</f>
        <v>1</v>
      </c>
      <c r="T189" s="134">
        <f>(SUM(C189:L189)/O189)</f>
        <v>0</v>
      </c>
      <c r="U189" s="7"/>
      <c r="V189" s="7"/>
    </row>
    <row r="190" spans="1:22" ht="14" outlineLevel="1">
      <c r="A190" s="198" t="str">
        <f>('Palveluntarjoajien lähtötiedot'!A9)</f>
        <v>PESULA 2</v>
      </c>
      <c r="B190" s="135">
        <f>(VLOOKUP(B187,'Lähtötiedot - kustannukset'!$C$2:$F$14,4,0)/(VLOOKUP(B187,Lähtötiedot!$C$3:$Q$13,15,0)))</f>
        <v>1.5831517792302106E-2</v>
      </c>
      <c r="C190" s="135">
        <f>((VLOOKUP(A190,'Lähtötiedot - kustannukset'!$B$77:$G$80,5,0)*(VLOOKUP(B187,Lähtötiedot!$C$3:$G$13,4,0))))</f>
        <v>0</v>
      </c>
      <c r="D190" s="135">
        <f>(VLOOKUP("*"&amp;B187&amp;"*",'Lähtötiedot - kustannukset'!$C$44:$G$56,4,0))</f>
        <v>0</v>
      </c>
      <c r="E190" s="135">
        <f>((VLOOKUP(A190,'Lähtötiedot - kustannukset'!$B$77:$G$80,5,0)*(VLOOKUP(B187,Lähtötiedot!$C$3:$G$13,4,0))))</f>
        <v>0</v>
      </c>
      <c r="F190" s="152"/>
      <c r="G190" s="152"/>
      <c r="H190" s="152"/>
      <c r="I190" s="152"/>
      <c r="J190" s="152"/>
      <c r="K190" s="152"/>
      <c r="L190" s="152"/>
      <c r="M190" s="152"/>
      <c r="N190" s="135">
        <f>(VLOOKUP(B187,Lähtötiedot!$C$3:$F$13,4,0)*('Lähtötiedot - kustannukset'!$F$73))</f>
        <v>0</v>
      </c>
      <c r="O190" s="7"/>
      <c r="P190" s="197"/>
      <c r="Q190" s="103"/>
      <c r="S190" s="7"/>
      <c r="T190" s="7"/>
      <c r="U190" s="7"/>
      <c r="V190" s="7"/>
    </row>
    <row r="191" spans="1:22" ht="14" outlineLevel="1">
      <c r="A191" s="198" t="str">
        <f>('Palveluntarjoajien lähtötiedot'!A10)</f>
        <v>PESULA 3</v>
      </c>
      <c r="B191" s="135">
        <f>(VLOOKUP(B187,'Lähtötiedot - kustannukset'!$C$2:$F$14,4,0)/(VLOOKUP(B187,Lähtötiedot!$C$3:$Q$13,15,0)))</f>
        <v>1.5831517792302106E-2</v>
      </c>
      <c r="C191" s="135">
        <f>((VLOOKUP(A191,'Lähtötiedot - kustannukset'!$B$77:$G$80,5,0)*(VLOOKUP(B187,Lähtötiedot!$C$3:$G$13,4,0))))</f>
        <v>0</v>
      </c>
      <c r="D191" s="135">
        <f>(VLOOKUP("*"&amp;B187&amp;"*",'Lähtötiedot - kustannukset'!$C$58:$F$70,4,0))</f>
        <v>0</v>
      </c>
      <c r="E191" s="135">
        <f>((VLOOKUP(A191,'Lähtötiedot - kustannukset'!$B$77:$G$80,5,0)*(VLOOKUP(B187,Lähtötiedot!$C$3:$G$13,4,0))))</f>
        <v>0</v>
      </c>
      <c r="F191" s="152"/>
      <c r="G191" s="152"/>
      <c r="H191" s="152"/>
      <c r="I191" s="152"/>
      <c r="J191" s="152"/>
      <c r="K191" s="152"/>
      <c r="L191" s="152"/>
      <c r="M191" s="152"/>
      <c r="N191" s="135">
        <f>(VLOOKUP(B187,Lähtötiedot!$C$3:$F$13,4,0)*('Lähtötiedot - kustannukset'!$F$73))</f>
        <v>0</v>
      </c>
      <c r="O191" s="7"/>
      <c r="P191" s="197"/>
      <c r="Q191" s="103"/>
      <c r="S191" s="7"/>
      <c r="T191" s="7"/>
      <c r="U191" s="7"/>
      <c r="V191" s="7"/>
    </row>
    <row r="192" spans="1:22" ht="12.5" outlineLevel="1">
      <c r="B192" s="152"/>
      <c r="C192" s="152"/>
      <c r="D192" s="152"/>
      <c r="E192" s="152"/>
      <c r="F192" s="152"/>
      <c r="G192" s="152"/>
      <c r="H192" s="152"/>
      <c r="I192" s="152"/>
      <c r="J192" s="152"/>
      <c r="K192" s="152"/>
      <c r="L192" s="152"/>
      <c r="M192" s="152"/>
      <c r="N192" s="152"/>
      <c r="O192" s="7"/>
      <c r="P192" s="197"/>
      <c r="Q192" s="103"/>
      <c r="S192" s="7"/>
      <c r="T192" s="7"/>
      <c r="U192" s="7"/>
      <c r="V192" s="7"/>
    </row>
    <row r="193" spans="1:22" ht="26" outlineLevel="1">
      <c r="A193" s="365" t="str">
        <f>((Lähtötiedot!$B$10&amp;"     "&amp;B193))</f>
        <v>Toimija 3     toimija 3 vaate 4</v>
      </c>
      <c r="B193" s="177" t="s">
        <v>271</v>
      </c>
      <c r="C193" s="156" t="str">
        <f>($M$13)</f>
        <v>Pesukerrat vuoden aikana</v>
      </c>
      <c r="D193" s="157">
        <f>(VLOOKUP(B193,Lähtötiedot!$C$3:$Q$36,15,0)/VLOOKUP(B193,Lähtötiedot!$C$3:$Q$36,10,0))</f>
        <v>25.26605504587156</v>
      </c>
      <c r="E193" s="177"/>
      <c r="F193" s="177"/>
      <c r="G193" s="178"/>
      <c r="H193" s="177"/>
      <c r="I193" s="156"/>
      <c r="J193" s="156"/>
      <c r="K193" s="177"/>
      <c r="L193" s="177"/>
      <c r="M193" s="177"/>
      <c r="N193" s="177"/>
      <c r="O193" s="351" t="str">
        <f>($E$14)</f>
        <v>€ / pesuväli</v>
      </c>
      <c r="P193" s="302"/>
      <c r="Q193" s="351" t="str">
        <f>($G$13)</f>
        <v>€ / vuosi</v>
      </c>
      <c r="R193" s="302"/>
      <c r="S193" s="352" t="str">
        <f>($K$13)</f>
        <v>Kustannuksen muodostuminen</v>
      </c>
      <c r="T193" s="302"/>
      <c r="U193" s="7"/>
      <c r="V193" s="7"/>
    </row>
    <row r="194" spans="1:22" ht="26" outlineLevel="1">
      <c r="A194" s="302"/>
      <c r="B194" s="99" t="s">
        <v>244</v>
      </c>
      <c r="C194" s="119" t="s">
        <v>258</v>
      </c>
      <c r="D194" s="119" t="s">
        <v>259</v>
      </c>
      <c r="E194" s="119" t="s">
        <v>266</v>
      </c>
      <c r="F194" s="119"/>
      <c r="G194" s="119"/>
      <c r="H194" s="119"/>
      <c r="I194" s="119"/>
      <c r="J194" s="99"/>
      <c r="K194" s="119"/>
      <c r="L194" s="119"/>
      <c r="M194" s="119"/>
      <c r="N194" s="120" t="str">
        <f>($N$13)</f>
        <v>Jätehuolto</v>
      </c>
      <c r="O194" s="353" t="s">
        <v>200</v>
      </c>
      <c r="P194" s="302"/>
      <c r="Q194" s="353" t="s">
        <v>200</v>
      </c>
      <c r="R194" s="302"/>
      <c r="S194" s="162" t="str">
        <f>($J$14)</f>
        <v>HANKINTA</v>
      </c>
      <c r="T194" s="162" t="str">
        <f>($K$14)</f>
        <v>HUOLTO</v>
      </c>
      <c r="U194" s="7"/>
      <c r="V194" s="7"/>
    </row>
    <row r="195" spans="1:22" ht="14" outlineLevel="1">
      <c r="A195" s="165" t="str">
        <f>('Palveluntarjoajien lähtötiedot'!A8)</f>
        <v>PESULA 1</v>
      </c>
      <c r="B195" s="135">
        <f>(VLOOKUP(B193,'Lähtötiedot - kustannukset'!$C$2:$F$14,4,0)/(VLOOKUP(B193,Lähtötiedot!$C$3:$Q$13,15,0)))</f>
        <v>1.5831517792302106E-2</v>
      </c>
      <c r="C195" s="135">
        <f>((VLOOKUP(A195,'Lähtötiedot - kustannukset'!$B$77:$G$80,5,0)*(VLOOKUP(B193,Lähtötiedot!$C$3:$G$13,4,0))))</f>
        <v>0</v>
      </c>
      <c r="D195" s="135">
        <f>(VLOOKUP("*"&amp;B193&amp;"*",'Lähtötiedot - kustannukset'!$C$30:$F$44,4,0))</f>
        <v>0</v>
      </c>
      <c r="E195" s="135">
        <f>((VLOOKUP(A195,'Lähtötiedot - kustannukset'!$B$77:$G$80,5,0)*(VLOOKUP(B193,Lähtötiedot!$C$3:$G$13,4,0))))</f>
        <v>0</v>
      </c>
      <c r="F195" s="170"/>
      <c r="G195" s="171"/>
      <c r="H195" s="171"/>
      <c r="I195" s="170"/>
      <c r="J195" s="170"/>
      <c r="K195" s="170"/>
      <c r="L195" s="170"/>
      <c r="M195" s="170"/>
      <c r="N195" s="135">
        <f>(VLOOKUP(B193,Lähtötiedot!$C$3:$F$13,4,0)*('Lähtötiedot - kustannukset'!$F$73))</f>
        <v>0</v>
      </c>
      <c r="O195" s="369">
        <f>SUM(B195:N195)</f>
        <v>1.5831517792302106E-2</v>
      </c>
      <c r="P195" s="302"/>
      <c r="Q195" s="368">
        <f>(O195*D193)</f>
        <v>0.4</v>
      </c>
      <c r="R195" s="302"/>
      <c r="S195" s="134">
        <f>(B195/O195)</f>
        <v>1</v>
      </c>
      <c r="T195" s="134">
        <f>(SUM(C195:L195)/O195)</f>
        <v>0</v>
      </c>
      <c r="U195" s="7"/>
      <c r="V195" s="7"/>
    </row>
    <row r="196" spans="1:22" ht="14" outlineLevel="1">
      <c r="A196" s="198" t="str">
        <f>('Palveluntarjoajien lähtötiedot'!A9)</f>
        <v>PESULA 2</v>
      </c>
      <c r="B196" s="135">
        <f>(VLOOKUP(B193,'Lähtötiedot - kustannukset'!$C$2:$F$14,4,0)/(VLOOKUP(B193,Lähtötiedot!$C$3:$Q$13,15,0)))</f>
        <v>1.5831517792302106E-2</v>
      </c>
      <c r="C196" s="135">
        <f>((VLOOKUP(A196,'Lähtötiedot - kustannukset'!$B$77:$G$80,5,0)*(VLOOKUP(B193,Lähtötiedot!$C$3:$G$13,4,0))))</f>
        <v>0</v>
      </c>
      <c r="D196" s="135">
        <f>(VLOOKUP("*"&amp;B193&amp;"*",'Lähtötiedot - kustannukset'!$C$44:$G$56,4,0))</f>
        <v>0</v>
      </c>
      <c r="E196" s="135">
        <f>((VLOOKUP(A196,'Lähtötiedot - kustannukset'!$B$77:$G$80,5,0)*(VLOOKUP(B193,Lähtötiedot!$C$3:$G$13,4,0))))</f>
        <v>0</v>
      </c>
      <c r="F196" s="152"/>
      <c r="G196" s="152"/>
      <c r="H196" s="152"/>
      <c r="I196" s="152"/>
      <c r="J196" s="152"/>
      <c r="K196" s="152"/>
      <c r="L196" s="152"/>
      <c r="M196" s="152"/>
      <c r="N196" s="135">
        <f>(VLOOKUP(B193,Lähtötiedot!$C$3:$F$13,4,0)*('Lähtötiedot - kustannukset'!$F$73))</f>
        <v>0</v>
      </c>
      <c r="O196" s="7"/>
      <c r="P196" s="197"/>
      <c r="Q196" s="103"/>
      <c r="S196" s="7"/>
      <c r="T196" s="7"/>
      <c r="U196" s="7"/>
      <c r="V196" s="7"/>
    </row>
    <row r="197" spans="1:22" ht="14" outlineLevel="1">
      <c r="A197" s="198" t="str">
        <f>('Palveluntarjoajien lähtötiedot'!A10)</f>
        <v>PESULA 3</v>
      </c>
      <c r="B197" s="135">
        <f>(VLOOKUP(B193,'Lähtötiedot - kustannukset'!$C$2:$F$14,4,0)/(VLOOKUP(B193,Lähtötiedot!$C$3:$Q$13,15,0)))</f>
        <v>1.5831517792302106E-2</v>
      </c>
      <c r="C197" s="135">
        <f>((VLOOKUP(A197,'Lähtötiedot - kustannukset'!$B$77:$G$80,5,0)*(VLOOKUP(B193,Lähtötiedot!$C$3:$G$13,4,0))))</f>
        <v>0</v>
      </c>
      <c r="D197" s="135">
        <f>(VLOOKUP("*"&amp;B193&amp;"*",'Lähtötiedot - kustannukset'!$C$58:$F$70,4,0))</f>
        <v>0</v>
      </c>
      <c r="E197" s="135">
        <f>((VLOOKUP(A197,'Lähtötiedot - kustannukset'!$B$77:$G$80,5,0)*(VLOOKUP(B193,Lähtötiedot!$C$3:$G$13,4,0))))</f>
        <v>0</v>
      </c>
      <c r="F197" s="152"/>
      <c r="G197" s="152"/>
      <c r="H197" s="152"/>
      <c r="I197" s="152"/>
      <c r="J197" s="152"/>
      <c r="K197" s="152"/>
      <c r="L197" s="152"/>
      <c r="M197" s="152"/>
      <c r="N197" s="135">
        <f>(VLOOKUP(B193,Lähtötiedot!$C$3:$F$13,4,0)*('Lähtötiedot - kustannukset'!$F$73))</f>
        <v>0</v>
      </c>
      <c r="O197" s="7"/>
      <c r="P197" s="197"/>
      <c r="Q197" s="103"/>
      <c r="S197" s="7"/>
      <c r="T197" s="7"/>
      <c r="U197" s="7"/>
      <c r="V197" s="7"/>
    </row>
    <row r="198" spans="1:22" ht="12.5">
      <c r="B198" s="152"/>
      <c r="C198" s="152"/>
      <c r="D198" s="152"/>
      <c r="E198" s="152"/>
      <c r="F198" s="152"/>
      <c r="G198" s="152"/>
      <c r="H198" s="152"/>
      <c r="I198" s="152"/>
      <c r="J198" s="152"/>
      <c r="K198" s="152"/>
      <c r="L198" s="152"/>
      <c r="M198" s="152"/>
      <c r="N198" s="152"/>
      <c r="O198" s="7"/>
      <c r="P198" s="197"/>
      <c r="Q198" s="103"/>
      <c r="S198" s="7"/>
      <c r="T198" s="7"/>
      <c r="U198" s="7"/>
      <c r="V198" s="7"/>
    </row>
    <row r="199" spans="1:22" ht="12.5">
      <c r="B199" s="152"/>
      <c r="C199" s="152"/>
      <c r="D199" s="152"/>
      <c r="E199" s="152"/>
      <c r="F199" s="152"/>
      <c r="G199" s="152"/>
      <c r="H199" s="152"/>
      <c r="I199" s="152"/>
      <c r="J199" s="152"/>
      <c r="K199" s="152"/>
      <c r="L199" s="152"/>
      <c r="M199" s="152"/>
      <c r="N199" s="152"/>
      <c r="O199" s="7"/>
      <c r="P199" s="197"/>
      <c r="Q199" s="103"/>
      <c r="S199" s="7"/>
      <c r="T199" s="7"/>
      <c r="U199" s="7"/>
      <c r="V199" s="7"/>
    </row>
    <row r="200" spans="1:22" ht="12.5">
      <c r="B200" s="152"/>
      <c r="C200" s="152"/>
      <c r="D200" s="152"/>
      <c r="E200" s="152"/>
      <c r="F200" s="152"/>
      <c r="G200" s="152"/>
      <c r="H200" s="152"/>
      <c r="I200" s="152"/>
      <c r="J200" s="152"/>
      <c r="K200" s="152"/>
      <c r="L200" s="152"/>
      <c r="M200" s="152"/>
      <c r="N200" s="152"/>
      <c r="O200" s="7"/>
      <c r="P200" s="197"/>
      <c r="Q200" s="103"/>
      <c r="S200" s="7"/>
      <c r="T200" s="7"/>
      <c r="U200" s="7"/>
      <c r="V200" s="7"/>
    </row>
    <row r="201" spans="1:22" ht="12.5">
      <c r="B201" s="152"/>
      <c r="C201" s="152"/>
      <c r="D201" s="152"/>
      <c r="E201" s="152"/>
      <c r="F201" s="152"/>
      <c r="G201" s="152"/>
      <c r="H201" s="152"/>
      <c r="I201" s="152"/>
      <c r="J201" s="152"/>
      <c r="K201" s="152"/>
      <c r="L201" s="152"/>
      <c r="M201" s="152"/>
      <c r="N201" s="152"/>
      <c r="O201" s="7"/>
      <c r="P201" s="197"/>
      <c r="Q201" s="103"/>
      <c r="S201" s="7"/>
      <c r="T201" s="7"/>
      <c r="U201" s="7"/>
      <c r="V201" s="7"/>
    </row>
    <row r="202" spans="1:22" ht="12.5">
      <c r="B202" s="152"/>
      <c r="C202" s="152"/>
      <c r="D202" s="152"/>
      <c r="E202" s="152"/>
      <c r="F202" s="152"/>
      <c r="G202" s="152"/>
      <c r="H202" s="152"/>
      <c r="I202" s="152"/>
      <c r="J202" s="152"/>
      <c r="K202" s="152"/>
      <c r="L202" s="152"/>
      <c r="M202" s="152"/>
      <c r="N202" s="152"/>
      <c r="O202" s="7"/>
      <c r="P202" s="197"/>
      <c r="Q202" s="103"/>
      <c r="S202" s="7"/>
      <c r="T202" s="7"/>
      <c r="U202" s="7"/>
      <c r="V202" s="7"/>
    </row>
    <row r="203" spans="1:22" ht="12.5">
      <c r="B203" s="152"/>
      <c r="C203" s="152"/>
      <c r="D203" s="152"/>
      <c r="E203" s="152"/>
      <c r="F203" s="152"/>
      <c r="G203" s="152"/>
      <c r="H203" s="152"/>
      <c r="I203" s="152"/>
      <c r="J203" s="152"/>
      <c r="K203" s="152"/>
      <c r="L203" s="152"/>
      <c r="M203" s="152"/>
      <c r="N203" s="152"/>
      <c r="O203" s="7"/>
      <c r="P203" s="197"/>
      <c r="Q203" s="103"/>
      <c r="S203" s="7"/>
      <c r="T203" s="7"/>
      <c r="U203" s="7"/>
      <c r="V203" s="7"/>
    </row>
    <row r="204" spans="1:22" ht="12.5">
      <c r="B204" s="152"/>
      <c r="C204" s="152"/>
      <c r="D204" s="152"/>
      <c r="E204" s="152"/>
      <c r="F204" s="152"/>
      <c r="G204" s="152"/>
      <c r="H204" s="152"/>
      <c r="I204" s="152"/>
      <c r="J204" s="152"/>
      <c r="K204" s="152"/>
      <c r="L204" s="152"/>
      <c r="M204" s="152"/>
      <c r="N204" s="152"/>
      <c r="O204" s="7"/>
      <c r="P204" s="197"/>
      <c r="Q204" s="103"/>
      <c r="S204" s="7"/>
      <c r="T204" s="7"/>
      <c r="U204" s="7"/>
      <c r="V204" s="7"/>
    </row>
    <row r="205" spans="1:22" ht="12.5">
      <c r="B205" s="152"/>
      <c r="C205" s="152"/>
      <c r="D205" s="152"/>
      <c r="E205" s="152"/>
      <c r="F205" s="152"/>
      <c r="G205" s="152"/>
      <c r="H205" s="152"/>
      <c r="I205" s="152"/>
      <c r="J205" s="152"/>
      <c r="K205" s="152"/>
      <c r="L205" s="152"/>
      <c r="M205" s="152"/>
      <c r="N205" s="152"/>
      <c r="O205" s="7"/>
      <c r="P205" s="197"/>
      <c r="Q205" s="103"/>
      <c r="S205" s="7"/>
      <c r="T205" s="7"/>
      <c r="U205" s="7"/>
      <c r="V205" s="7"/>
    </row>
    <row r="206" spans="1:22" ht="12.5">
      <c r="B206" s="152"/>
      <c r="C206" s="152"/>
      <c r="D206" s="152"/>
      <c r="E206" s="152"/>
      <c r="F206" s="152"/>
      <c r="G206" s="152"/>
      <c r="H206" s="152"/>
      <c r="I206" s="152"/>
      <c r="J206" s="152"/>
      <c r="K206" s="152"/>
      <c r="L206" s="152"/>
      <c r="M206" s="152"/>
      <c r="N206" s="152"/>
      <c r="O206" s="7"/>
      <c r="P206" s="197"/>
      <c r="Q206" s="103"/>
      <c r="S206" s="7"/>
      <c r="T206" s="7"/>
      <c r="U206" s="7"/>
      <c r="V206" s="7"/>
    </row>
    <row r="207" spans="1:22" ht="12.5">
      <c r="B207" s="152"/>
      <c r="C207" s="152"/>
      <c r="D207" s="152"/>
      <c r="E207" s="152"/>
      <c r="F207" s="152"/>
      <c r="G207" s="152"/>
      <c r="H207" s="152"/>
      <c r="I207" s="152"/>
      <c r="J207" s="152"/>
      <c r="K207" s="152"/>
      <c r="L207" s="152"/>
      <c r="M207" s="152"/>
      <c r="N207" s="152"/>
      <c r="O207" s="7"/>
      <c r="P207" s="197"/>
      <c r="Q207" s="103"/>
      <c r="S207" s="7"/>
      <c r="T207" s="7"/>
      <c r="U207" s="7"/>
      <c r="V207" s="7"/>
    </row>
    <row r="208" spans="1:22" ht="12.5">
      <c r="B208" s="152"/>
      <c r="C208" s="152"/>
      <c r="D208" s="152"/>
      <c r="E208" s="152"/>
      <c r="F208" s="152"/>
      <c r="G208" s="152"/>
      <c r="H208" s="152"/>
      <c r="I208" s="152"/>
      <c r="J208" s="152"/>
      <c r="K208" s="152"/>
      <c r="L208" s="152"/>
      <c r="M208" s="152"/>
      <c r="N208" s="152"/>
      <c r="O208" s="7"/>
      <c r="P208" s="197"/>
      <c r="Q208" s="103"/>
      <c r="S208" s="7"/>
      <c r="T208" s="7"/>
      <c r="U208" s="7"/>
      <c r="V208" s="7"/>
    </row>
    <row r="209" spans="2:22" ht="12.5">
      <c r="B209" s="152"/>
      <c r="C209" s="152"/>
      <c r="D209" s="152"/>
      <c r="E209" s="152"/>
      <c r="F209" s="152"/>
      <c r="G209" s="152"/>
      <c r="H209" s="152"/>
      <c r="I209" s="152"/>
      <c r="J209" s="152"/>
      <c r="K209" s="152"/>
      <c r="L209" s="152"/>
      <c r="M209" s="152"/>
      <c r="N209" s="152"/>
      <c r="O209" s="7"/>
      <c r="P209" s="197"/>
      <c r="Q209" s="103"/>
      <c r="S209" s="7"/>
      <c r="T209" s="7"/>
      <c r="U209" s="7"/>
      <c r="V209" s="7"/>
    </row>
    <row r="210" spans="2:22" ht="12.5">
      <c r="B210" s="152"/>
      <c r="C210" s="152"/>
      <c r="D210" s="152"/>
      <c r="E210" s="152"/>
      <c r="F210" s="152"/>
      <c r="G210" s="152"/>
      <c r="H210" s="152"/>
      <c r="I210" s="152"/>
      <c r="J210" s="152"/>
      <c r="K210" s="152"/>
      <c r="L210" s="152"/>
      <c r="M210" s="152"/>
      <c r="N210" s="152"/>
      <c r="O210" s="7"/>
      <c r="P210" s="197"/>
      <c r="Q210" s="103"/>
      <c r="S210" s="7"/>
      <c r="T210" s="7"/>
      <c r="U210" s="7"/>
      <c r="V210" s="7"/>
    </row>
    <row r="211" spans="2:22" ht="12.5">
      <c r="B211" s="152"/>
      <c r="C211" s="152"/>
      <c r="D211" s="152"/>
      <c r="E211" s="152"/>
      <c r="F211" s="152"/>
      <c r="G211" s="152"/>
      <c r="H211" s="152"/>
      <c r="I211" s="152"/>
      <c r="J211" s="152"/>
      <c r="K211" s="152"/>
      <c r="L211" s="152"/>
      <c r="M211" s="152"/>
      <c r="N211" s="152"/>
      <c r="O211" s="7"/>
      <c r="P211" s="197"/>
      <c r="Q211" s="103"/>
      <c r="S211" s="7"/>
      <c r="T211" s="7"/>
      <c r="U211" s="7"/>
      <c r="V211" s="7"/>
    </row>
    <row r="212" spans="2:22" ht="12.5">
      <c r="B212" s="152"/>
      <c r="C212" s="152"/>
      <c r="D212" s="152"/>
      <c r="E212" s="152"/>
      <c r="F212" s="152"/>
      <c r="G212" s="152"/>
      <c r="H212" s="152"/>
      <c r="I212" s="152"/>
      <c r="J212" s="152"/>
      <c r="K212" s="152"/>
      <c r="L212" s="152"/>
      <c r="M212" s="152"/>
      <c r="N212" s="152"/>
      <c r="O212" s="7"/>
      <c r="P212" s="197"/>
      <c r="Q212" s="103"/>
      <c r="S212" s="7"/>
      <c r="T212" s="7"/>
      <c r="U212" s="7"/>
      <c r="V212" s="7"/>
    </row>
    <row r="213" spans="2:22" ht="12.5">
      <c r="B213" s="152"/>
      <c r="C213" s="152"/>
      <c r="D213" s="152"/>
      <c r="E213" s="152"/>
      <c r="F213" s="152"/>
      <c r="G213" s="152"/>
      <c r="H213" s="152"/>
      <c r="I213" s="152"/>
      <c r="J213" s="152"/>
      <c r="K213" s="152"/>
      <c r="L213" s="152"/>
      <c r="M213" s="152"/>
      <c r="N213" s="152"/>
      <c r="O213" s="7"/>
      <c r="P213" s="197"/>
      <c r="Q213" s="103"/>
      <c r="S213" s="7"/>
      <c r="T213" s="7"/>
      <c r="U213" s="7"/>
      <c r="V213" s="7"/>
    </row>
    <row r="214" spans="2:22" ht="12.5">
      <c r="B214" s="152"/>
      <c r="C214" s="152"/>
      <c r="D214" s="152"/>
      <c r="E214" s="152"/>
      <c r="F214" s="152"/>
      <c r="G214" s="152"/>
      <c r="H214" s="152"/>
      <c r="I214" s="152"/>
      <c r="J214" s="152"/>
      <c r="K214" s="152"/>
      <c r="L214" s="152"/>
      <c r="M214" s="152"/>
      <c r="N214" s="152"/>
      <c r="O214" s="7"/>
      <c r="P214" s="197"/>
      <c r="Q214" s="103"/>
      <c r="S214" s="7"/>
      <c r="T214" s="7"/>
      <c r="U214" s="7"/>
      <c r="V214" s="7"/>
    </row>
    <row r="215" spans="2:22" ht="12.5">
      <c r="B215" s="152"/>
      <c r="C215" s="152"/>
      <c r="D215" s="152"/>
      <c r="E215" s="152"/>
      <c r="F215" s="152"/>
      <c r="G215" s="152"/>
      <c r="H215" s="152"/>
      <c r="I215" s="152"/>
      <c r="J215" s="152"/>
      <c r="K215" s="152"/>
      <c r="L215" s="152"/>
      <c r="M215" s="152"/>
      <c r="N215" s="152"/>
      <c r="O215" s="7"/>
      <c r="P215" s="197"/>
      <c r="Q215" s="103"/>
      <c r="S215" s="7"/>
      <c r="T215" s="7"/>
      <c r="U215" s="7"/>
      <c r="V215" s="7"/>
    </row>
    <row r="216" spans="2:22" ht="12.5">
      <c r="B216" s="152"/>
      <c r="C216" s="152"/>
      <c r="D216" s="152"/>
      <c r="E216" s="152"/>
      <c r="F216" s="152"/>
      <c r="G216" s="152"/>
      <c r="H216" s="152"/>
      <c r="I216" s="152"/>
      <c r="J216" s="152"/>
      <c r="K216" s="152"/>
      <c r="L216" s="152"/>
      <c r="M216" s="152"/>
      <c r="N216" s="152"/>
      <c r="O216" s="7"/>
      <c r="P216" s="197"/>
      <c r="Q216" s="103"/>
      <c r="S216" s="7"/>
      <c r="T216" s="7"/>
      <c r="U216" s="7"/>
      <c r="V216" s="7"/>
    </row>
    <row r="217" spans="2:22" ht="12.5">
      <c r="B217" s="152"/>
      <c r="C217" s="152"/>
      <c r="D217" s="152"/>
      <c r="E217" s="152"/>
      <c r="F217" s="152"/>
      <c r="G217" s="152"/>
      <c r="H217" s="152"/>
      <c r="I217" s="152"/>
      <c r="J217" s="152"/>
      <c r="K217" s="152"/>
      <c r="L217" s="152"/>
      <c r="M217" s="152"/>
      <c r="N217" s="152"/>
      <c r="O217" s="7"/>
      <c r="P217" s="197"/>
      <c r="Q217" s="103"/>
      <c r="S217" s="7"/>
      <c r="T217" s="7"/>
      <c r="U217" s="7"/>
      <c r="V217" s="7"/>
    </row>
    <row r="218" spans="2:22" ht="12.5">
      <c r="B218" s="152"/>
      <c r="C218" s="152"/>
      <c r="D218" s="152"/>
      <c r="E218" s="152"/>
      <c r="F218" s="152"/>
      <c r="G218" s="152"/>
      <c r="H218" s="152"/>
      <c r="I218" s="152"/>
      <c r="J218" s="152"/>
      <c r="K218" s="152"/>
      <c r="L218" s="152"/>
      <c r="M218" s="152"/>
      <c r="N218" s="152"/>
      <c r="O218" s="7"/>
      <c r="P218" s="197"/>
      <c r="Q218" s="103"/>
      <c r="S218" s="7"/>
      <c r="T218" s="7"/>
      <c r="U218" s="7"/>
      <c r="V218" s="7"/>
    </row>
    <row r="219" spans="2:22" ht="12.5">
      <c r="B219" s="152"/>
      <c r="C219" s="152"/>
      <c r="D219" s="152"/>
      <c r="E219" s="152"/>
      <c r="F219" s="152"/>
      <c r="G219" s="152"/>
      <c r="H219" s="152"/>
      <c r="I219" s="152"/>
      <c r="J219" s="152"/>
      <c r="K219" s="152"/>
      <c r="L219" s="152"/>
      <c r="M219" s="152"/>
      <c r="N219" s="152"/>
      <c r="O219" s="7"/>
      <c r="P219" s="197"/>
      <c r="Q219" s="103"/>
      <c r="S219" s="7"/>
      <c r="T219" s="7"/>
      <c r="U219" s="7"/>
      <c r="V219" s="7"/>
    </row>
    <row r="220" spans="2:22" ht="12.5">
      <c r="B220" s="152"/>
      <c r="C220" s="152"/>
      <c r="D220" s="152"/>
      <c r="E220" s="152"/>
      <c r="F220" s="152"/>
      <c r="G220" s="152"/>
      <c r="H220" s="152"/>
      <c r="I220" s="152"/>
      <c r="J220" s="152"/>
      <c r="K220" s="152"/>
      <c r="L220" s="152"/>
      <c r="M220" s="152"/>
      <c r="N220" s="152"/>
      <c r="O220" s="7"/>
      <c r="P220" s="197"/>
      <c r="Q220" s="103"/>
      <c r="S220" s="7"/>
      <c r="T220" s="7"/>
      <c r="U220" s="7"/>
      <c r="V220" s="7"/>
    </row>
    <row r="221" spans="2:22" ht="12.5">
      <c r="B221" s="152"/>
      <c r="C221" s="152"/>
      <c r="D221" s="152"/>
      <c r="E221" s="152"/>
      <c r="F221" s="152"/>
      <c r="G221" s="152"/>
      <c r="H221" s="152"/>
      <c r="I221" s="152"/>
      <c r="J221" s="152"/>
      <c r="K221" s="152"/>
      <c r="L221" s="152"/>
      <c r="M221" s="152"/>
      <c r="N221" s="152"/>
      <c r="O221" s="7"/>
      <c r="P221" s="197"/>
      <c r="Q221" s="103"/>
      <c r="S221" s="7"/>
      <c r="T221" s="7"/>
      <c r="U221" s="7"/>
      <c r="V221" s="7"/>
    </row>
    <row r="222" spans="2:22" ht="12.5">
      <c r="B222" s="152"/>
      <c r="C222" s="152"/>
      <c r="D222" s="152"/>
      <c r="E222" s="152"/>
      <c r="F222" s="152"/>
      <c r="G222" s="152"/>
      <c r="H222" s="152"/>
      <c r="I222" s="152"/>
      <c r="J222" s="152"/>
      <c r="K222" s="152"/>
      <c r="L222" s="152"/>
      <c r="M222" s="152"/>
      <c r="N222" s="152"/>
      <c r="O222" s="7"/>
      <c r="P222" s="197"/>
      <c r="Q222" s="103"/>
      <c r="S222" s="7"/>
      <c r="T222" s="7"/>
      <c r="U222" s="7"/>
      <c r="V222" s="7"/>
    </row>
    <row r="223" spans="2:22" ht="12.5">
      <c r="B223" s="152"/>
      <c r="C223" s="152"/>
      <c r="D223" s="152"/>
      <c r="E223" s="152"/>
      <c r="F223" s="152"/>
      <c r="G223" s="152"/>
      <c r="H223" s="152"/>
      <c r="I223" s="152"/>
      <c r="J223" s="152"/>
      <c r="K223" s="152"/>
      <c r="L223" s="152"/>
      <c r="M223" s="152"/>
      <c r="N223" s="152"/>
      <c r="O223" s="7"/>
      <c r="P223" s="197"/>
      <c r="Q223" s="103"/>
      <c r="S223" s="7"/>
      <c r="T223" s="7"/>
      <c r="U223" s="7"/>
      <c r="V223" s="7"/>
    </row>
    <row r="224" spans="2:22" ht="12.5">
      <c r="B224" s="152"/>
      <c r="C224" s="152"/>
      <c r="D224" s="152"/>
      <c r="E224" s="152"/>
      <c r="F224" s="152"/>
      <c r="G224" s="152"/>
      <c r="H224" s="152"/>
      <c r="I224" s="152"/>
      <c r="J224" s="152"/>
      <c r="K224" s="152"/>
      <c r="L224" s="152"/>
      <c r="M224" s="152"/>
      <c r="N224" s="152"/>
      <c r="O224" s="7"/>
      <c r="P224" s="197"/>
      <c r="Q224" s="103"/>
      <c r="S224" s="7"/>
      <c r="T224" s="7"/>
      <c r="U224" s="7"/>
      <c r="V224" s="7"/>
    </row>
    <row r="225" spans="2:22" ht="12.5">
      <c r="B225" s="152"/>
      <c r="C225" s="152"/>
      <c r="D225" s="152"/>
      <c r="E225" s="152"/>
      <c r="F225" s="152"/>
      <c r="G225" s="152"/>
      <c r="H225" s="152"/>
      <c r="I225" s="152"/>
      <c r="J225" s="152"/>
      <c r="K225" s="152"/>
      <c r="L225" s="152"/>
      <c r="M225" s="152"/>
      <c r="N225" s="152"/>
      <c r="O225" s="7"/>
      <c r="P225" s="197"/>
      <c r="Q225" s="103"/>
      <c r="S225" s="7"/>
      <c r="T225" s="7"/>
      <c r="U225" s="7"/>
      <c r="V225" s="7"/>
    </row>
    <row r="226" spans="2:22" ht="12.5">
      <c r="B226" s="152"/>
      <c r="C226" s="152"/>
      <c r="D226" s="152"/>
      <c r="E226" s="152"/>
      <c r="F226" s="152"/>
      <c r="G226" s="152"/>
      <c r="H226" s="152"/>
      <c r="I226" s="152"/>
      <c r="J226" s="152"/>
      <c r="K226" s="152"/>
      <c r="L226" s="152"/>
      <c r="M226" s="152"/>
      <c r="N226" s="152"/>
      <c r="O226" s="7"/>
      <c r="P226" s="197"/>
      <c r="Q226" s="103"/>
      <c r="S226" s="7"/>
      <c r="T226" s="7"/>
      <c r="U226" s="7"/>
      <c r="V226" s="7"/>
    </row>
    <row r="227" spans="2:22" ht="12.5">
      <c r="B227" s="152"/>
      <c r="C227" s="152"/>
      <c r="D227" s="152"/>
      <c r="E227" s="152"/>
      <c r="F227" s="152"/>
      <c r="G227" s="152"/>
      <c r="H227" s="152"/>
      <c r="I227" s="152"/>
      <c r="J227" s="152"/>
      <c r="K227" s="152"/>
      <c r="L227" s="152"/>
      <c r="M227" s="152"/>
      <c r="N227" s="152"/>
      <c r="O227" s="7"/>
      <c r="P227" s="197"/>
      <c r="Q227" s="103"/>
      <c r="S227" s="7"/>
      <c r="T227" s="7"/>
      <c r="U227" s="7"/>
      <c r="V227" s="7"/>
    </row>
    <row r="228" spans="2:22" ht="12.5">
      <c r="B228" s="152"/>
      <c r="C228" s="152"/>
      <c r="D228" s="152"/>
      <c r="E228" s="152"/>
      <c r="F228" s="152"/>
      <c r="G228" s="152"/>
      <c r="H228" s="152"/>
      <c r="I228" s="152"/>
      <c r="J228" s="152"/>
      <c r="K228" s="152"/>
      <c r="L228" s="152"/>
      <c r="M228" s="152"/>
      <c r="N228" s="152"/>
      <c r="O228" s="7"/>
      <c r="P228" s="197"/>
      <c r="Q228" s="103"/>
      <c r="S228" s="7"/>
      <c r="T228" s="7"/>
      <c r="U228" s="7"/>
      <c r="V228" s="7"/>
    </row>
    <row r="229" spans="2:22" ht="12.5">
      <c r="B229" s="152"/>
      <c r="C229" s="152"/>
      <c r="D229" s="152"/>
      <c r="E229" s="152"/>
      <c r="F229" s="152"/>
      <c r="G229" s="152"/>
      <c r="H229" s="152"/>
      <c r="I229" s="152"/>
      <c r="J229" s="152"/>
      <c r="K229" s="152"/>
      <c r="L229" s="152"/>
      <c r="M229" s="152"/>
      <c r="N229" s="152"/>
      <c r="O229" s="7"/>
      <c r="P229" s="197"/>
      <c r="Q229" s="103"/>
      <c r="S229" s="7"/>
      <c r="T229" s="7"/>
      <c r="U229" s="7"/>
      <c r="V229" s="7"/>
    </row>
    <row r="230" spans="2:22" ht="12.5">
      <c r="B230" s="152"/>
      <c r="C230" s="152"/>
      <c r="D230" s="152"/>
      <c r="E230" s="152"/>
      <c r="F230" s="152"/>
      <c r="G230" s="152"/>
      <c r="H230" s="152"/>
      <c r="I230" s="152"/>
      <c r="J230" s="152"/>
      <c r="K230" s="152"/>
      <c r="L230" s="152"/>
      <c r="M230" s="152"/>
      <c r="N230" s="152"/>
      <c r="O230" s="7"/>
      <c r="P230" s="197"/>
      <c r="Q230" s="103"/>
      <c r="S230" s="7"/>
      <c r="T230" s="7"/>
      <c r="U230" s="7"/>
      <c r="V230" s="7"/>
    </row>
    <row r="231" spans="2:22" ht="12.5">
      <c r="B231" s="152"/>
      <c r="C231" s="152"/>
      <c r="D231" s="152"/>
      <c r="E231" s="152"/>
      <c r="F231" s="152"/>
      <c r="G231" s="152"/>
      <c r="H231" s="152"/>
      <c r="I231" s="152"/>
      <c r="J231" s="152"/>
      <c r="K231" s="152"/>
      <c r="L231" s="152"/>
      <c r="M231" s="152"/>
      <c r="N231" s="152"/>
      <c r="O231" s="7"/>
      <c r="P231" s="197"/>
      <c r="Q231" s="103"/>
      <c r="S231" s="7"/>
      <c r="T231" s="7"/>
      <c r="U231" s="7"/>
      <c r="V231" s="7"/>
    </row>
    <row r="232" spans="2:22" ht="12.5">
      <c r="B232" s="152"/>
      <c r="C232" s="152"/>
      <c r="D232" s="152"/>
      <c r="E232" s="152"/>
      <c r="F232" s="152"/>
      <c r="G232" s="152"/>
      <c r="H232" s="152"/>
      <c r="I232" s="152"/>
      <c r="J232" s="152"/>
      <c r="K232" s="152"/>
      <c r="L232" s="152"/>
      <c r="M232" s="152"/>
      <c r="N232" s="152"/>
      <c r="O232" s="7"/>
      <c r="P232" s="197"/>
      <c r="Q232" s="103"/>
      <c r="S232" s="7"/>
      <c r="T232" s="7"/>
      <c r="U232" s="7"/>
      <c r="V232" s="7"/>
    </row>
    <row r="233" spans="2:22" ht="12.5">
      <c r="B233" s="152"/>
      <c r="C233" s="152"/>
      <c r="D233" s="152"/>
      <c r="E233" s="152"/>
      <c r="F233" s="152"/>
      <c r="G233" s="152"/>
      <c r="H233" s="152"/>
      <c r="I233" s="152"/>
      <c r="J233" s="152"/>
      <c r="K233" s="152"/>
      <c r="L233" s="152"/>
      <c r="M233" s="152"/>
      <c r="N233" s="152"/>
      <c r="O233" s="7"/>
      <c r="P233" s="197"/>
      <c r="Q233" s="103"/>
      <c r="S233" s="7"/>
      <c r="T233" s="7"/>
      <c r="U233" s="7"/>
      <c r="V233" s="7"/>
    </row>
    <row r="234" spans="2:22" ht="12.5">
      <c r="B234" s="152"/>
      <c r="C234" s="152"/>
      <c r="D234" s="152"/>
      <c r="E234" s="152"/>
      <c r="F234" s="152"/>
      <c r="G234" s="152"/>
      <c r="H234" s="152"/>
      <c r="I234" s="152"/>
      <c r="J234" s="152"/>
      <c r="K234" s="152"/>
      <c r="L234" s="152"/>
      <c r="M234" s="152"/>
      <c r="N234" s="152"/>
      <c r="O234" s="7"/>
      <c r="P234" s="197"/>
      <c r="Q234" s="103"/>
      <c r="S234" s="7"/>
      <c r="T234" s="7"/>
      <c r="U234" s="7"/>
      <c r="V234" s="7"/>
    </row>
    <row r="235" spans="2:22" ht="12.5">
      <c r="B235" s="152"/>
      <c r="C235" s="152"/>
      <c r="D235" s="152"/>
      <c r="E235" s="152"/>
      <c r="F235" s="152"/>
      <c r="G235" s="152"/>
      <c r="H235" s="152"/>
      <c r="I235" s="152"/>
      <c r="J235" s="152"/>
      <c r="K235" s="152"/>
      <c r="L235" s="152"/>
      <c r="M235" s="152"/>
      <c r="N235" s="152"/>
      <c r="O235" s="7"/>
      <c r="P235" s="197"/>
      <c r="Q235" s="103"/>
      <c r="S235" s="7"/>
      <c r="T235" s="7"/>
      <c r="U235" s="7"/>
      <c r="V235" s="7"/>
    </row>
    <row r="236" spans="2:22" ht="12.5">
      <c r="B236" s="152"/>
      <c r="C236" s="152"/>
      <c r="D236" s="152"/>
      <c r="E236" s="152"/>
      <c r="F236" s="152"/>
      <c r="G236" s="152"/>
      <c r="H236" s="152"/>
      <c r="I236" s="152"/>
      <c r="J236" s="152"/>
      <c r="K236" s="152"/>
      <c r="L236" s="152"/>
      <c r="M236" s="152"/>
      <c r="N236" s="152"/>
      <c r="O236" s="7"/>
      <c r="P236" s="197"/>
      <c r="Q236" s="103"/>
      <c r="S236" s="7"/>
      <c r="T236" s="7"/>
      <c r="U236" s="7"/>
      <c r="V236" s="7"/>
    </row>
    <row r="237" spans="2:22" ht="12.5">
      <c r="B237" s="152"/>
      <c r="C237" s="152"/>
      <c r="D237" s="152"/>
      <c r="E237" s="152"/>
      <c r="F237" s="152"/>
      <c r="G237" s="152"/>
      <c r="H237" s="152"/>
      <c r="I237" s="152"/>
      <c r="J237" s="152"/>
      <c r="K237" s="152"/>
      <c r="L237" s="152"/>
      <c r="M237" s="152"/>
      <c r="N237" s="152"/>
      <c r="O237" s="7"/>
      <c r="P237" s="197"/>
      <c r="Q237" s="103"/>
      <c r="S237" s="7"/>
      <c r="T237" s="7"/>
      <c r="U237" s="7"/>
      <c r="V237" s="7"/>
    </row>
    <row r="238" spans="2:22" ht="12.5">
      <c r="B238" s="152"/>
      <c r="C238" s="152"/>
      <c r="D238" s="152"/>
      <c r="E238" s="152"/>
      <c r="F238" s="152"/>
      <c r="G238" s="152"/>
      <c r="H238" s="152"/>
      <c r="I238" s="152"/>
      <c r="J238" s="152"/>
      <c r="K238" s="152"/>
      <c r="L238" s="152"/>
      <c r="M238" s="152"/>
      <c r="N238" s="152"/>
      <c r="O238" s="7"/>
      <c r="P238" s="197"/>
      <c r="Q238" s="103"/>
      <c r="S238" s="7"/>
      <c r="T238" s="7"/>
      <c r="U238" s="7"/>
      <c r="V238" s="7"/>
    </row>
    <row r="239" spans="2:22" ht="12.5">
      <c r="B239" s="152"/>
      <c r="C239" s="152"/>
      <c r="D239" s="152"/>
      <c r="E239" s="152"/>
      <c r="F239" s="152"/>
      <c r="G239" s="152"/>
      <c r="H239" s="152"/>
      <c r="I239" s="152"/>
      <c r="J239" s="152"/>
      <c r="K239" s="152"/>
      <c r="L239" s="152"/>
      <c r="M239" s="152"/>
      <c r="N239" s="152"/>
      <c r="O239" s="7"/>
      <c r="P239" s="197"/>
      <c r="Q239" s="103"/>
      <c r="S239" s="7"/>
      <c r="T239" s="7"/>
      <c r="U239" s="7"/>
      <c r="V239" s="7"/>
    </row>
    <row r="240" spans="2:22" ht="12.5">
      <c r="B240" s="152"/>
      <c r="C240" s="152"/>
      <c r="D240" s="152"/>
      <c r="E240" s="152"/>
      <c r="F240" s="152"/>
      <c r="G240" s="152"/>
      <c r="H240" s="152"/>
      <c r="I240" s="152"/>
      <c r="J240" s="152"/>
      <c r="K240" s="152"/>
      <c r="L240" s="152"/>
      <c r="M240" s="152"/>
      <c r="N240" s="152"/>
      <c r="O240" s="7"/>
      <c r="P240" s="197"/>
      <c r="Q240" s="103"/>
      <c r="S240" s="7"/>
      <c r="T240" s="7"/>
      <c r="U240" s="7"/>
      <c r="V240" s="7"/>
    </row>
    <row r="241" spans="2:22" ht="12.5">
      <c r="B241" s="152"/>
      <c r="C241" s="152"/>
      <c r="D241" s="152"/>
      <c r="E241" s="152"/>
      <c r="F241" s="152"/>
      <c r="G241" s="152"/>
      <c r="H241" s="152"/>
      <c r="I241" s="152"/>
      <c r="J241" s="152"/>
      <c r="K241" s="152"/>
      <c r="L241" s="152"/>
      <c r="M241" s="152"/>
      <c r="N241" s="152"/>
      <c r="O241" s="7"/>
      <c r="P241" s="197"/>
      <c r="Q241" s="103"/>
      <c r="S241" s="7"/>
      <c r="T241" s="7"/>
      <c r="U241" s="7"/>
      <c r="V241" s="7"/>
    </row>
    <row r="242" spans="2:22" ht="12.5">
      <c r="B242" s="152"/>
      <c r="C242" s="152"/>
      <c r="D242" s="152"/>
      <c r="E242" s="152"/>
      <c r="F242" s="152"/>
      <c r="G242" s="152"/>
      <c r="H242" s="152"/>
      <c r="I242" s="152"/>
      <c r="J242" s="152"/>
      <c r="K242" s="152"/>
      <c r="L242" s="152"/>
      <c r="M242" s="152"/>
      <c r="N242" s="152"/>
      <c r="O242" s="7"/>
      <c r="P242" s="197"/>
      <c r="Q242" s="103"/>
      <c r="S242" s="7"/>
      <c r="T242" s="7"/>
      <c r="U242" s="7"/>
      <c r="V242" s="7"/>
    </row>
    <row r="243" spans="2:22" ht="12.5">
      <c r="B243" s="152"/>
      <c r="C243" s="152"/>
      <c r="D243" s="152"/>
      <c r="E243" s="152"/>
      <c r="F243" s="152"/>
      <c r="G243" s="152"/>
      <c r="H243" s="152"/>
      <c r="I243" s="152"/>
      <c r="J243" s="152"/>
      <c r="K243" s="152"/>
      <c r="L243" s="152"/>
      <c r="M243" s="152"/>
      <c r="N243" s="152"/>
      <c r="O243" s="7"/>
      <c r="P243" s="197"/>
      <c r="Q243" s="103"/>
      <c r="S243" s="7"/>
      <c r="T243" s="7"/>
      <c r="U243" s="7"/>
      <c r="V243" s="7"/>
    </row>
    <row r="244" spans="2:22" ht="12.5">
      <c r="B244" s="152"/>
      <c r="C244" s="152"/>
      <c r="D244" s="152"/>
      <c r="E244" s="152"/>
      <c r="F244" s="152"/>
      <c r="G244" s="152"/>
      <c r="H244" s="152"/>
      <c r="I244" s="152"/>
      <c r="J244" s="152"/>
      <c r="K244" s="152"/>
      <c r="L244" s="152"/>
      <c r="M244" s="152"/>
      <c r="N244" s="152"/>
      <c r="O244" s="7"/>
      <c r="P244" s="197"/>
      <c r="Q244" s="103"/>
      <c r="S244" s="7"/>
      <c r="T244" s="7"/>
      <c r="U244" s="7"/>
      <c r="V244" s="7"/>
    </row>
    <row r="245" spans="2:22" ht="12.5">
      <c r="B245" s="152"/>
      <c r="C245" s="152"/>
      <c r="D245" s="152"/>
      <c r="E245" s="152"/>
      <c r="F245" s="152"/>
      <c r="G245" s="152"/>
      <c r="H245" s="152"/>
      <c r="I245" s="152"/>
      <c r="J245" s="152"/>
      <c r="K245" s="152"/>
      <c r="L245" s="152"/>
      <c r="M245" s="152"/>
      <c r="N245" s="152"/>
      <c r="O245" s="7"/>
      <c r="P245" s="197"/>
      <c r="Q245" s="103"/>
      <c r="S245" s="7"/>
      <c r="T245" s="7"/>
      <c r="U245" s="7"/>
      <c r="V245" s="7"/>
    </row>
    <row r="246" spans="2:22" ht="12.5">
      <c r="B246" s="152"/>
      <c r="C246" s="152"/>
      <c r="D246" s="152"/>
      <c r="E246" s="152"/>
      <c r="F246" s="152"/>
      <c r="G246" s="152"/>
      <c r="H246" s="152"/>
      <c r="I246" s="152"/>
      <c r="J246" s="152"/>
      <c r="K246" s="152"/>
      <c r="L246" s="152"/>
      <c r="M246" s="152"/>
      <c r="N246" s="152"/>
      <c r="O246" s="7"/>
      <c r="P246" s="197"/>
      <c r="Q246" s="103"/>
      <c r="S246" s="7"/>
      <c r="T246" s="7"/>
      <c r="U246" s="7"/>
      <c r="V246" s="7"/>
    </row>
    <row r="247" spans="2:22" ht="12.5">
      <c r="B247" s="152"/>
      <c r="C247" s="152"/>
      <c r="D247" s="152"/>
      <c r="E247" s="152"/>
      <c r="F247" s="152"/>
      <c r="G247" s="152"/>
      <c r="H247" s="152"/>
      <c r="I247" s="152"/>
      <c r="J247" s="152"/>
      <c r="K247" s="152"/>
      <c r="L247" s="152"/>
      <c r="M247" s="152"/>
      <c r="N247" s="152"/>
      <c r="O247" s="7"/>
      <c r="P247" s="197"/>
      <c r="Q247" s="103"/>
      <c r="S247" s="7"/>
      <c r="T247" s="7"/>
      <c r="U247" s="7"/>
      <c r="V247" s="7"/>
    </row>
    <row r="248" spans="2:22" ht="12.5">
      <c r="B248" s="152"/>
      <c r="C248" s="152"/>
      <c r="D248" s="152"/>
      <c r="E248" s="152"/>
      <c r="F248" s="152"/>
      <c r="G248" s="152"/>
      <c r="H248" s="152"/>
      <c r="I248" s="152"/>
      <c r="J248" s="152"/>
      <c r="K248" s="152"/>
      <c r="L248" s="152"/>
      <c r="M248" s="152"/>
      <c r="N248" s="152"/>
      <c r="O248" s="7"/>
      <c r="P248" s="197"/>
      <c r="Q248" s="103"/>
      <c r="S248" s="7"/>
      <c r="T248" s="7"/>
      <c r="U248" s="7"/>
      <c r="V248" s="7"/>
    </row>
    <row r="249" spans="2:22" ht="12.5">
      <c r="B249" s="152"/>
      <c r="C249" s="152"/>
      <c r="D249" s="152"/>
      <c r="E249" s="152"/>
      <c r="F249" s="152"/>
      <c r="G249" s="152"/>
      <c r="H249" s="152"/>
      <c r="I249" s="152"/>
      <c r="J249" s="152"/>
      <c r="K249" s="152"/>
      <c r="L249" s="152"/>
      <c r="M249" s="152"/>
      <c r="N249" s="152"/>
      <c r="O249" s="7"/>
      <c r="P249" s="197"/>
      <c r="Q249" s="103"/>
      <c r="S249" s="7"/>
      <c r="T249" s="7"/>
      <c r="U249" s="7"/>
      <c r="V249" s="7"/>
    </row>
    <row r="250" spans="2:22" ht="12.5">
      <c r="B250" s="152"/>
      <c r="C250" s="152"/>
      <c r="D250" s="152"/>
      <c r="E250" s="152"/>
      <c r="F250" s="152"/>
      <c r="G250" s="152"/>
      <c r="H250" s="152"/>
      <c r="I250" s="152"/>
      <c r="J250" s="152"/>
      <c r="K250" s="152"/>
      <c r="L250" s="152"/>
      <c r="M250" s="152"/>
      <c r="N250" s="152"/>
      <c r="O250" s="7"/>
      <c r="P250" s="197"/>
      <c r="Q250" s="103"/>
      <c r="S250" s="7"/>
      <c r="T250" s="7"/>
      <c r="U250" s="7"/>
      <c r="V250" s="7"/>
    </row>
    <row r="251" spans="2:22" ht="12.5">
      <c r="B251" s="152"/>
      <c r="C251" s="152"/>
      <c r="D251" s="152"/>
      <c r="E251" s="152"/>
      <c r="F251" s="152"/>
      <c r="G251" s="152"/>
      <c r="H251" s="152"/>
      <c r="I251" s="152"/>
      <c r="J251" s="152"/>
      <c r="K251" s="152"/>
      <c r="L251" s="152"/>
      <c r="M251" s="152"/>
      <c r="N251" s="152"/>
      <c r="O251" s="7"/>
      <c r="P251" s="197"/>
      <c r="Q251" s="103"/>
      <c r="S251" s="7"/>
      <c r="T251" s="7"/>
      <c r="U251" s="7"/>
      <c r="V251" s="7"/>
    </row>
    <row r="252" spans="2:22" ht="12.5">
      <c r="B252" s="152"/>
      <c r="C252" s="152"/>
      <c r="D252" s="152"/>
      <c r="E252" s="152"/>
      <c r="F252" s="152"/>
      <c r="G252" s="152"/>
      <c r="H252" s="152"/>
      <c r="I252" s="152"/>
      <c r="J252" s="152"/>
      <c r="K252" s="152"/>
      <c r="L252" s="152"/>
      <c r="M252" s="152"/>
      <c r="N252" s="152"/>
      <c r="O252" s="7"/>
      <c r="P252" s="197"/>
      <c r="Q252" s="103"/>
      <c r="S252" s="7"/>
      <c r="T252" s="7"/>
      <c r="U252" s="7"/>
      <c r="V252" s="7"/>
    </row>
    <row r="253" spans="2:22" ht="12.5">
      <c r="B253" s="152"/>
      <c r="C253" s="152"/>
      <c r="D253" s="152"/>
      <c r="E253" s="152"/>
      <c r="F253" s="152"/>
      <c r="G253" s="152"/>
      <c r="H253" s="152"/>
      <c r="I253" s="152"/>
      <c r="J253" s="152"/>
      <c r="K253" s="152"/>
      <c r="L253" s="152"/>
      <c r="M253" s="152"/>
      <c r="N253" s="152"/>
      <c r="O253" s="7"/>
      <c r="P253" s="197"/>
      <c r="Q253" s="103"/>
      <c r="S253" s="7"/>
      <c r="T253" s="7"/>
      <c r="U253" s="7"/>
      <c r="V253" s="7"/>
    </row>
    <row r="254" spans="2:22" ht="12.5">
      <c r="B254" s="152"/>
      <c r="C254" s="152"/>
      <c r="D254" s="152"/>
      <c r="E254" s="152"/>
      <c r="F254" s="152"/>
      <c r="G254" s="152"/>
      <c r="H254" s="152"/>
      <c r="I254" s="152"/>
      <c r="J254" s="152"/>
      <c r="K254" s="152"/>
      <c r="L254" s="152"/>
      <c r="M254" s="152"/>
      <c r="N254" s="152"/>
      <c r="O254" s="7"/>
      <c r="P254" s="197"/>
      <c r="Q254" s="103"/>
      <c r="S254" s="7"/>
      <c r="T254" s="7"/>
      <c r="U254" s="7"/>
      <c r="V254" s="7"/>
    </row>
    <row r="255" spans="2:22" ht="12.5">
      <c r="B255" s="152"/>
      <c r="C255" s="152"/>
      <c r="D255" s="152"/>
      <c r="E255" s="152"/>
      <c r="F255" s="152"/>
      <c r="G255" s="152"/>
      <c r="H255" s="152"/>
      <c r="I255" s="152"/>
      <c r="J255" s="152"/>
      <c r="K255" s="152"/>
      <c r="L255" s="152"/>
      <c r="M255" s="152"/>
      <c r="N255" s="152"/>
      <c r="O255" s="7"/>
      <c r="P255" s="197"/>
      <c r="Q255" s="103"/>
      <c r="S255" s="7"/>
      <c r="T255" s="7"/>
      <c r="U255" s="7"/>
      <c r="V255" s="7"/>
    </row>
    <row r="256" spans="2:22" ht="12.5">
      <c r="B256" s="152"/>
      <c r="C256" s="152"/>
      <c r="D256" s="152"/>
      <c r="E256" s="152"/>
      <c r="F256" s="152"/>
      <c r="G256" s="152"/>
      <c r="H256" s="152"/>
      <c r="I256" s="152"/>
      <c r="J256" s="152"/>
      <c r="K256" s="152"/>
      <c r="L256" s="152"/>
      <c r="M256" s="152"/>
      <c r="N256" s="152"/>
      <c r="O256" s="7"/>
      <c r="P256" s="197"/>
      <c r="Q256" s="103"/>
      <c r="S256" s="7"/>
      <c r="T256" s="7"/>
      <c r="U256" s="7"/>
      <c r="V256" s="7"/>
    </row>
    <row r="257" spans="2:22" ht="12.5">
      <c r="B257" s="152"/>
      <c r="C257" s="152"/>
      <c r="D257" s="152"/>
      <c r="E257" s="152"/>
      <c r="F257" s="152"/>
      <c r="G257" s="152"/>
      <c r="H257" s="152"/>
      <c r="I257" s="152"/>
      <c r="J257" s="152"/>
      <c r="K257" s="152"/>
      <c r="L257" s="152"/>
      <c r="M257" s="152"/>
      <c r="N257" s="152"/>
      <c r="O257" s="7"/>
      <c r="P257" s="197"/>
      <c r="Q257" s="103"/>
      <c r="S257" s="7"/>
      <c r="T257" s="7"/>
      <c r="U257" s="7"/>
      <c r="V257" s="7"/>
    </row>
    <row r="258" spans="2:22" ht="12.5">
      <c r="B258" s="152"/>
      <c r="C258" s="152"/>
      <c r="D258" s="152"/>
      <c r="E258" s="152"/>
      <c r="F258" s="152"/>
      <c r="G258" s="152"/>
      <c r="H258" s="152"/>
      <c r="I258" s="152"/>
      <c r="J258" s="152"/>
      <c r="K258" s="152"/>
      <c r="L258" s="152"/>
      <c r="M258" s="152"/>
      <c r="N258" s="152"/>
      <c r="O258" s="7"/>
      <c r="P258" s="197"/>
      <c r="Q258" s="103"/>
      <c r="S258" s="7"/>
      <c r="T258" s="7"/>
      <c r="U258" s="7"/>
      <c r="V258" s="7"/>
    </row>
    <row r="259" spans="2:22" ht="12.5">
      <c r="B259" s="152"/>
      <c r="C259" s="152"/>
      <c r="D259" s="152"/>
      <c r="E259" s="152"/>
      <c r="F259" s="152"/>
      <c r="G259" s="152"/>
      <c r="H259" s="152"/>
      <c r="I259" s="152"/>
      <c r="J259" s="152"/>
      <c r="K259" s="152"/>
      <c r="L259" s="152"/>
      <c r="M259" s="152"/>
      <c r="N259" s="152"/>
      <c r="O259" s="7"/>
      <c r="P259" s="197"/>
      <c r="Q259" s="103"/>
      <c r="S259" s="7"/>
      <c r="T259" s="7"/>
      <c r="U259" s="7"/>
      <c r="V259" s="7"/>
    </row>
    <row r="260" spans="2:22" ht="12.5">
      <c r="B260" s="152"/>
      <c r="C260" s="152"/>
      <c r="D260" s="152"/>
      <c r="E260" s="152"/>
      <c r="F260" s="152"/>
      <c r="G260" s="152"/>
      <c r="H260" s="152"/>
      <c r="I260" s="152"/>
      <c r="J260" s="152"/>
      <c r="K260" s="152"/>
      <c r="L260" s="152"/>
      <c r="M260" s="152"/>
      <c r="N260" s="152"/>
      <c r="O260" s="7"/>
      <c r="P260" s="197"/>
      <c r="Q260" s="103"/>
      <c r="S260" s="7"/>
      <c r="T260" s="7"/>
      <c r="U260" s="7"/>
      <c r="V260" s="7"/>
    </row>
    <row r="261" spans="2:22" ht="12.5">
      <c r="B261" s="152"/>
      <c r="C261" s="152"/>
      <c r="D261" s="152"/>
      <c r="E261" s="152"/>
      <c r="F261" s="152"/>
      <c r="G261" s="152"/>
      <c r="H261" s="152"/>
      <c r="I261" s="152"/>
      <c r="J261" s="152"/>
      <c r="K261" s="152"/>
      <c r="L261" s="152"/>
      <c r="M261" s="152"/>
      <c r="N261" s="152"/>
      <c r="O261" s="7"/>
      <c r="P261" s="197"/>
      <c r="Q261" s="103"/>
      <c r="S261" s="7"/>
      <c r="T261" s="7"/>
      <c r="U261" s="7"/>
      <c r="V261" s="7"/>
    </row>
    <row r="262" spans="2:22" ht="12.5">
      <c r="B262" s="152"/>
      <c r="C262" s="152"/>
      <c r="D262" s="152"/>
      <c r="E262" s="152"/>
      <c r="F262" s="152"/>
      <c r="G262" s="152"/>
      <c r="H262" s="152"/>
      <c r="I262" s="152"/>
      <c r="J262" s="152"/>
      <c r="K262" s="152"/>
      <c r="L262" s="152"/>
      <c r="M262" s="152"/>
      <c r="N262" s="152"/>
      <c r="O262" s="7"/>
      <c r="P262" s="197"/>
      <c r="Q262" s="103"/>
      <c r="S262" s="7"/>
      <c r="T262" s="7"/>
      <c r="U262" s="7"/>
      <c r="V262" s="7"/>
    </row>
    <row r="263" spans="2:22" ht="12.5">
      <c r="B263" s="152"/>
      <c r="C263" s="152"/>
      <c r="D263" s="152"/>
      <c r="E263" s="152"/>
      <c r="F263" s="152"/>
      <c r="G263" s="152"/>
      <c r="H263" s="152"/>
      <c r="I263" s="152"/>
      <c r="J263" s="152"/>
      <c r="K263" s="152"/>
      <c r="L263" s="152"/>
      <c r="M263" s="152"/>
      <c r="N263" s="152"/>
      <c r="O263" s="7"/>
      <c r="P263" s="197"/>
      <c r="Q263" s="103"/>
      <c r="S263" s="7"/>
      <c r="T263" s="7"/>
      <c r="U263" s="7"/>
      <c r="V263" s="7"/>
    </row>
    <row r="264" spans="2:22" ht="12.5">
      <c r="B264" s="152"/>
      <c r="C264" s="152"/>
      <c r="D264" s="152"/>
      <c r="E264" s="152"/>
      <c r="F264" s="152"/>
      <c r="G264" s="152"/>
      <c r="H264" s="152"/>
      <c r="I264" s="152"/>
      <c r="J264" s="152"/>
      <c r="K264" s="152"/>
      <c r="L264" s="152"/>
      <c r="M264" s="152"/>
      <c r="N264" s="152"/>
      <c r="O264" s="7"/>
      <c r="P264" s="197"/>
      <c r="Q264" s="103"/>
      <c r="S264" s="7"/>
      <c r="T264" s="7"/>
      <c r="U264" s="7"/>
      <c r="V264" s="7"/>
    </row>
    <row r="265" spans="2:22" ht="12.5">
      <c r="B265" s="152"/>
      <c r="C265" s="152"/>
      <c r="D265" s="152"/>
      <c r="E265" s="152"/>
      <c r="F265" s="152"/>
      <c r="G265" s="152"/>
      <c r="H265" s="152"/>
      <c r="I265" s="152"/>
      <c r="J265" s="152"/>
      <c r="K265" s="152"/>
      <c r="L265" s="152"/>
      <c r="M265" s="152"/>
      <c r="N265" s="152"/>
      <c r="O265" s="7"/>
      <c r="P265" s="197"/>
      <c r="Q265" s="103"/>
      <c r="S265" s="7"/>
      <c r="T265" s="7"/>
      <c r="U265" s="7"/>
      <c r="V265" s="7"/>
    </row>
    <row r="266" spans="2:22" ht="12.5">
      <c r="B266" s="152"/>
      <c r="C266" s="152"/>
      <c r="D266" s="152"/>
      <c r="E266" s="152"/>
      <c r="F266" s="152"/>
      <c r="G266" s="152"/>
      <c r="H266" s="152"/>
      <c r="I266" s="152"/>
      <c r="J266" s="152"/>
      <c r="K266" s="152"/>
      <c r="L266" s="152"/>
      <c r="M266" s="152"/>
      <c r="N266" s="152"/>
      <c r="O266" s="7"/>
      <c r="P266" s="197"/>
      <c r="Q266" s="103"/>
      <c r="S266" s="7"/>
      <c r="T266" s="7"/>
      <c r="U266" s="7"/>
      <c r="V266" s="7"/>
    </row>
    <row r="267" spans="2:22" ht="12.5">
      <c r="B267" s="152"/>
      <c r="C267" s="152"/>
      <c r="D267" s="152"/>
      <c r="E267" s="152"/>
      <c r="F267" s="152"/>
      <c r="G267" s="152"/>
      <c r="H267" s="152"/>
      <c r="I267" s="152"/>
      <c r="J267" s="152"/>
      <c r="K267" s="152"/>
      <c r="L267" s="152"/>
      <c r="M267" s="152"/>
      <c r="N267" s="152"/>
      <c r="O267" s="7"/>
      <c r="P267" s="197"/>
      <c r="Q267" s="103"/>
      <c r="S267" s="7"/>
      <c r="T267" s="7"/>
      <c r="U267" s="7"/>
      <c r="V267" s="7"/>
    </row>
    <row r="268" spans="2:22" ht="12.5">
      <c r="B268" s="152"/>
      <c r="C268" s="152"/>
      <c r="D268" s="152"/>
      <c r="E268" s="152"/>
      <c r="F268" s="152"/>
      <c r="G268" s="152"/>
      <c r="H268" s="152"/>
      <c r="I268" s="152"/>
      <c r="J268" s="152"/>
      <c r="K268" s="152"/>
      <c r="L268" s="152"/>
      <c r="M268" s="152"/>
      <c r="N268" s="152"/>
      <c r="O268" s="7"/>
      <c r="P268" s="197"/>
      <c r="Q268" s="103"/>
      <c r="S268" s="7"/>
      <c r="T268" s="7"/>
      <c r="U268" s="7"/>
      <c r="V268" s="7"/>
    </row>
    <row r="269" spans="2:22" ht="12.5">
      <c r="B269" s="152"/>
      <c r="C269" s="152"/>
      <c r="D269" s="152"/>
      <c r="E269" s="152"/>
      <c r="F269" s="152"/>
      <c r="G269" s="152"/>
      <c r="H269" s="152"/>
      <c r="I269" s="152"/>
      <c r="J269" s="152"/>
      <c r="K269" s="152"/>
      <c r="L269" s="152"/>
      <c r="M269" s="152"/>
      <c r="N269" s="152"/>
      <c r="O269" s="7"/>
      <c r="P269" s="197"/>
      <c r="Q269" s="103"/>
      <c r="S269" s="7"/>
      <c r="T269" s="7"/>
      <c r="U269" s="7"/>
      <c r="V269" s="7"/>
    </row>
    <row r="270" spans="2:22" ht="12.5">
      <c r="B270" s="152"/>
      <c r="C270" s="152"/>
      <c r="D270" s="152"/>
      <c r="E270" s="152"/>
      <c r="F270" s="152"/>
      <c r="G270" s="152"/>
      <c r="H270" s="152"/>
      <c r="I270" s="152"/>
      <c r="J270" s="152"/>
      <c r="K270" s="152"/>
      <c r="L270" s="152"/>
      <c r="M270" s="152"/>
      <c r="N270" s="152"/>
      <c r="O270" s="7"/>
      <c r="P270" s="197"/>
      <c r="Q270" s="103"/>
      <c r="S270" s="7"/>
      <c r="T270" s="7"/>
      <c r="U270" s="7"/>
      <c r="V270" s="7"/>
    </row>
    <row r="271" spans="2:22" ht="12.5">
      <c r="B271" s="152"/>
      <c r="C271" s="152"/>
      <c r="D271" s="152"/>
      <c r="E271" s="152"/>
      <c r="F271" s="152"/>
      <c r="G271" s="152"/>
      <c r="H271" s="152"/>
      <c r="I271" s="152"/>
      <c r="J271" s="152"/>
      <c r="K271" s="152"/>
      <c r="L271" s="152"/>
      <c r="M271" s="152"/>
      <c r="N271" s="152"/>
      <c r="O271" s="7"/>
      <c r="P271" s="197"/>
      <c r="Q271" s="103"/>
      <c r="S271" s="7"/>
      <c r="T271" s="7"/>
      <c r="U271" s="7"/>
      <c r="V271" s="7"/>
    </row>
    <row r="272" spans="2:22" ht="12.5">
      <c r="B272" s="152"/>
      <c r="C272" s="152"/>
      <c r="D272" s="152"/>
      <c r="E272" s="152"/>
      <c r="F272" s="152"/>
      <c r="G272" s="152"/>
      <c r="H272" s="152"/>
      <c r="I272" s="152"/>
      <c r="J272" s="152"/>
      <c r="K272" s="152"/>
      <c r="L272" s="152"/>
      <c r="M272" s="152"/>
      <c r="N272" s="152"/>
      <c r="O272" s="7"/>
      <c r="P272" s="197"/>
      <c r="Q272" s="103"/>
      <c r="S272" s="7"/>
      <c r="T272" s="7"/>
      <c r="U272" s="7"/>
      <c r="V272" s="7"/>
    </row>
    <row r="273" spans="2:22" ht="12.5">
      <c r="B273" s="152"/>
      <c r="C273" s="152"/>
      <c r="D273" s="152"/>
      <c r="E273" s="152"/>
      <c r="F273" s="152"/>
      <c r="G273" s="152"/>
      <c r="H273" s="152"/>
      <c r="I273" s="152"/>
      <c r="J273" s="152"/>
      <c r="K273" s="152"/>
      <c r="L273" s="152"/>
      <c r="M273" s="152"/>
      <c r="N273" s="152"/>
      <c r="O273" s="7"/>
      <c r="P273" s="197"/>
      <c r="Q273" s="103"/>
      <c r="S273" s="7"/>
      <c r="T273" s="7"/>
      <c r="U273" s="7"/>
      <c r="V273" s="7"/>
    </row>
    <row r="274" spans="2:22" ht="12.5">
      <c r="B274" s="152"/>
      <c r="C274" s="152"/>
      <c r="D274" s="152"/>
      <c r="E274" s="152"/>
      <c r="F274" s="152"/>
      <c r="G274" s="152"/>
      <c r="H274" s="152"/>
      <c r="I274" s="152"/>
      <c r="J274" s="152"/>
      <c r="K274" s="152"/>
      <c r="L274" s="152"/>
      <c r="M274" s="152"/>
      <c r="N274" s="152"/>
      <c r="O274" s="7"/>
      <c r="P274" s="197"/>
      <c r="Q274" s="103"/>
      <c r="S274" s="7"/>
      <c r="T274" s="7"/>
      <c r="U274" s="7"/>
      <c r="V274" s="7"/>
    </row>
    <row r="275" spans="2:22" ht="12.5">
      <c r="B275" s="152"/>
      <c r="C275" s="152"/>
      <c r="D275" s="152"/>
      <c r="E275" s="152"/>
      <c r="F275" s="152"/>
      <c r="G275" s="152"/>
      <c r="H275" s="152"/>
      <c r="I275" s="152"/>
      <c r="J275" s="152"/>
      <c r="K275" s="152"/>
      <c r="L275" s="152"/>
      <c r="M275" s="152"/>
      <c r="N275" s="152"/>
      <c r="O275" s="7"/>
      <c r="P275" s="197"/>
      <c r="Q275" s="103"/>
      <c r="S275" s="7"/>
      <c r="T275" s="7"/>
      <c r="U275" s="7"/>
      <c r="V275" s="7"/>
    </row>
    <row r="276" spans="2:22" ht="12.5">
      <c r="B276" s="152"/>
      <c r="C276" s="152"/>
      <c r="D276" s="152"/>
      <c r="E276" s="152"/>
      <c r="F276" s="152"/>
      <c r="G276" s="152"/>
      <c r="H276" s="152"/>
      <c r="I276" s="152"/>
      <c r="J276" s="152"/>
      <c r="K276" s="152"/>
      <c r="L276" s="152"/>
      <c r="M276" s="152"/>
      <c r="N276" s="152"/>
      <c r="O276" s="7"/>
      <c r="P276" s="197"/>
      <c r="Q276" s="103"/>
      <c r="S276" s="7"/>
      <c r="T276" s="7"/>
      <c r="U276" s="7"/>
      <c r="V276" s="7"/>
    </row>
    <row r="277" spans="2:22" ht="12.5">
      <c r="B277" s="152"/>
      <c r="C277" s="152"/>
      <c r="D277" s="152"/>
      <c r="E277" s="152"/>
      <c r="F277" s="152"/>
      <c r="G277" s="152"/>
      <c r="H277" s="152"/>
      <c r="I277" s="152"/>
      <c r="J277" s="152"/>
      <c r="K277" s="152"/>
      <c r="L277" s="152"/>
      <c r="M277" s="152"/>
      <c r="N277" s="152"/>
      <c r="O277" s="7"/>
      <c r="P277" s="197"/>
      <c r="Q277" s="103"/>
      <c r="S277" s="7"/>
      <c r="T277" s="7"/>
      <c r="U277" s="7"/>
      <c r="V277" s="7"/>
    </row>
    <row r="278" spans="2:22" ht="12.5">
      <c r="B278" s="152"/>
      <c r="C278" s="152"/>
      <c r="D278" s="152"/>
      <c r="E278" s="152"/>
      <c r="F278" s="152"/>
      <c r="G278" s="152"/>
      <c r="H278" s="152"/>
      <c r="I278" s="152"/>
      <c r="J278" s="152"/>
      <c r="K278" s="152"/>
      <c r="L278" s="152"/>
      <c r="M278" s="152"/>
      <c r="N278" s="152"/>
      <c r="O278" s="7"/>
      <c r="P278" s="197"/>
      <c r="Q278" s="103"/>
      <c r="S278" s="7"/>
      <c r="T278" s="7"/>
      <c r="U278" s="7"/>
      <c r="V278" s="7"/>
    </row>
    <row r="279" spans="2:22" ht="12.5">
      <c r="B279" s="152"/>
      <c r="C279" s="152"/>
      <c r="D279" s="152"/>
      <c r="E279" s="152"/>
      <c r="F279" s="152"/>
      <c r="G279" s="152"/>
      <c r="H279" s="152"/>
      <c r="I279" s="152"/>
      <c r="J279" s="152"/>
      <c r="K279" s="152"/>
      <c r="L279" s="152"/>
      <c r="M279" s="152"/>
      <c r="N279" s="152"/>
      <c r="O279" s="7"/>
      <c r="P279" s="197"/>
      <c r="Q279" s="103"/>
      <c r="S279" s="7"/>
      <c r="T279" s="7"/>
      <c r="U279" s="7"/>
      <c r="V279" s="7"/>
    </row>
    <row r="280" spans="2:22" ht="12.5">
      <c r="B280" s="152"/>
      <c r="C280" s="152"/>
      <c r="D280" s="152"/>
      <c r="E280" s="152"/>
      <c r="F280" s="152"/>
      <c r="G280" s="152"/>
      <c r="H280" s="152"/>
      <c r="I280" s="152"/>
      <c r="J280" s="152"/>
      <c r="K280" s="152"/>
      <c r="L280" s="152"/>
      <c r="M280" s="152"/>
      <c r="N280" s="152"/>
      <c r="O280" s="7"/>
      <c r="P280" s="197"/>
      <c r="Q280" s="103"/>
      <c r="S280" s="7"/>
      <c r="T280" s="7"/>
      <c r="U280" s="7"/>
      <c r="V280" s="7"/>
    </row>
    <row r="281" spans="2:22" ht="12.5">
      <c r="B281" s="152"/>
      <c r="C281" s="152"/>
      <c r="D281" s="152"/>
      <c r="E281" s="152"/>
      <c r="F281" s="152"/>
      <c r="G281" s="152"/>
      <c r="H281" s="152"/>
      <c r="I281" s="152"/>
      <c r="J281" s="152"/>
      <c r="K281" s="152"/>
      <c r="L281" s="152"/>
      <c r="M281" s="152"/>
      <c r="N281" s="152"/>
      <c r="O281" s="7"/>
      <c r="P281" s="197"/>
      <c r="Q281" s="103"/>
      <c r="S281" s="7"/>
      <c r="T281" s="7"/>
      <c r="U281" s="7"/>
      <c r="V281" s="7"/>
    </row>
    <row r="282" spans="2:22" ht="12.5">
      <c r="B282" s="152"/>
      <c r="C282" s="152"/>
      <c r="D282" s="152"/>
      <c r="E282" s="152"/>
      <c r="F282" s="152"/>
      <c r="G282" s="152"/>
      <c r="H282" s="152"/>
      <c r="I282" s="152"/>
      <c r="J282" s="152"/>
      <c r="K282" s="152"/>
      <c r="L282" s="152"/>
      <c r="M282" s="152"/>
      <c r="N282" s="152"/>
      <c r="O282" s="7"/>
      <c r="P282" s="197"/>
      <c r="Q282" s="103"/>
      <c r="S282" s="7"/>
      <c r="T282" s="7"/>
      <c r="U282" s="7"/>
      <c r="V282" s="7"/>
    </row>
    <row r="283" spans="2:22" ht="12.5">
      <c r="B283" s="152"/>
      <c r="C283" s="152"/>
      <c r="D283" s="152"/>
      <c r="E283" s="152"/>
      <c r="F283" s="152"/>
      <c r="G283" s="152"/>
      <c r="H283" s="152"/>
      <c r="I283" s="152"/>
      <c r="J283" s="152"/>
      <c r="K283" s="152"/>
      <c r="L283" s="152"/>
      <c r="M283" s="152"/>
      <c r="N283" s="152"/>
      <c r="O283" s="7"/>
      <c r="P283" s="197"/>
      <c r="Q283" s="103"/>
      <c r="S283" s="7"/>
      <c r="T283" s="7"/>
      <c r="U283" s="7"/>
      <c r="V283" s="7"/>
    </row>
    <row r="284" spans="2:22" ht="12.5">
      <c r="B284" s="152"/>
      <c r="C284" s="152"/>
      <c r="D284" s="152"/>
      <c r="E284" s="152"/>
      <c r="F284" s="152"/>
      <c r="G284" s="152"/>
      <c r="H284" s="152"/>
      <c r="I284" s="152"/>
      <c r="J284" s="152"/>
      <c r="K284" s="152"/>
      <c r="L284" s="152"/>
      <c r="M284" s="152"/>
      <c r="N284" s="152"/>
      <c r="O284" s="7"/>
      <c r="P284" s="197"/>
      <c r="Q284" s="103"/>
      <c r="S284" s="7"/>
      <c r="T284" s="7"/>
      <c r="U284" s="7"/>
      <c r="V284" s="7"/>
    </row>
    <row r="285" spans="2:22" ht="12.5">
      <c r="B285" s="152"/>
      <c r="C285" s="152"/>
      <c r="D285" s="152"/>
      <c r="E285" s="152"/>
      <c r="F285" s="152"/>
      <c r="G285" s="152"/>
      <c r="H285" s="152"/>
      <c r="I285" s="152"/>
      <c r="J285" s="152"/>
      <c r="K285" s="152"/>
      <c r="L285" s="152"/>
      <c r="M285" s="152"/>
      <c r="N285" s="152"/>
      <c r="O285" s="7"/>
      <c r="P285" s="197"/>
      <c r="Q285" s="103"/>
      <c r="S285" s="7"/>
      <c r="T285" s="7"/>
      <c r="U285" s="7"/>
      <c r="V285" s="7"/>
    </row>
    <row r="286" spans="2:22" ht="12.5">
      <c r="B286" s="152"/>
      <c r="C286" s="152"/>
      <c r="D286" s="152"/>
      <c r="E286" s="152"/>
      <c r="F286" s="152"/>
      <c r="G286" s="152"/>
      <c r="H286" s="152"/>
      <c r="I286" s="152"/>
      <c r="J286" s="152"/>
      <c r="K286" s="152"/>
      <c r="L286" s="152"/>
      <c r="M286" s="152"/>
      <c r="N286" s="152"/>
      <c r="O286" s="7"/>
      <c r="P286" s="197"/>
      <c r="Q286" s="103"/>
      <c r="S286" s="7"/>
      <c r="T286" s="7"/>
      <c r="U286" s="7"/>
      <c r="V286" s="7"/>
    </row>
    <row r="287" spans="2:22" ht="12.5">
      <c r="B287" s="152"/>
      <c r="C287" s="152"/>
      <c r="D287" s="152"/>
      <c r="E287" s="152"/>
      <c r="F287" s="152"/>
      <c r="G287" s="152"/>
      <c r="H287" s="152"/>
      <c r="I287" s="152"/>
      <c r="J287" s="152"/>
      <c r="K287" s="152"/>
      <c r="L287" s="152"/>
      <c r="M287" s="152"/>
      <c r="N287" s="152"/>
      <c r="O287" s="7"/>
      <c r="P287" s="197"/>
      <c r="Q287" s="103"/>
      <c r="S287" s="7"/>
      <c r="T287" s="7"/>
      <c r="U287" s="7"/>
      <c r="V287" s="7"/>
    </row>
    <row r="288" spans="2:22" ht="12.5">
      <c r="B288" s="152"/>
      <c r="C288" s="152"/>
      <c r="D288" s="152"/>
      <c r="E288" s="152"/>
      <c r="F288" s="152"/>
      <c r="G288" s="152"/>
      <c r="H288" s="152"/>
      <c r="I288" s="152"/>
      <c r="J288" s="152"/>
      <c r="K288" s="152"/>
      <c r="L288" s="152"/>
      <c r="M288" s="152"/>
      <c r="N288" s="152"/>
      <c r="O288" s="7"/>
      <c r="P288" s="197"/>
      <c r="Q288" s="103"/>
      <c r="S288" s="7"/>
      <c r="T288" s="7"/>
      <c r="U288" s="7"/>
      <c r="V288" s="7"/>
    </row>
    <row r="289" spans="2:22" ht="12.5">
      <c r="B289" s="152"/>
      <c r="C289" s="152"/>
      <c r="D289" s="152"/>
      <c r="E289" s="152"/>
      <c r="F289" s="152"/>
      <c r="G289" s="152"/>
      <c r="H289" s="152"/>
      <c r="I289" s="152"/>
      <c r="J289" s="152"/>
      <c r="K289" s="152"/>
      <c r="L289" s="152"/>
      <c r="M289" s="152"/>
      <c r="N289" s="152"/>
      <c r="O289" s="7"/>
      <c r="P289" s="197"/>
      <c r="Q289" s="103"/>
      <c r="S289" s="7"/>
      <c r="T289" s="7"/>
      <c r="U289" s="7"/>
      <c r="V289" s="7"/>
    </row>
    <row r="290" spans="2:22" ht="12.5">
      <c r="B290" s="152"/>
      <c r="C290" s="152"/>
      <c r="D290" s="152"/>
      <c r="E290" s="152"/>
      <c r="F290" s="152"/>
      <c r="G290" s="152"/>
      <c r="H290" s="152"/>
      <c r="I290" s="152"/>
      <c r="J290" s="152"/>
      <c r="K290" s="152"/>
      <c r="L290" s="152"/>
      <c r="M290" s="152"/>
      <c r="N290" s="152"/>
      <c r="O290" s="7"/>
      <c r="P290" s="197"/>
      <c r="Q290" s="103"/>
      <c r="S290" s="7"/>
      <c r="T290" s="7"/>
      <c r="U290" s="7"/>
      <c r="V290" s="7"/>
    </row>
    <row r="291" spans="2:22" ht="12.5">
      <c r="B291" s="152"/>
      <c r="C291" s="152"/>
      <c r="D291" s="152"/>
      <c r="E291" s="152"/>
      <c r="F291" s="152"/>
      <c r="G291" s="152"/>
      <c r="H291" s="152"/>
      <c r="I291" s="152"/>
      <c r="J291" s="152"/>
      <c r="K291" s="152"/>
      <c r="L291" s="152"/>
      <c r="M291" s="152"/>
      <c r="N291" s="152"/>
      <c r="O291" s="7"/>
      <c r="P291" s="197"/>
      <c r="Q291" s="103"/>
      <c r="S291" s="7"/>
      <c r="T291" s="7"/>
      <c r="U291" s="7"/>
      <c r="V291" s="7"/>
    </row>
    <row r="292" spans="2:22" ht="12.5">
      <c r="B292" s="152"/>
      <c r="C292" s="152"/>
      <c r="D292" s="152"/>
      <c r="E292" s="152"/>
      <c r="F292" s="152"/>
      <c r="G292" s="152"/>
      <c r="H292" s="152"/>
      <c r="I292" s="152"/>
      <c r="J292" s="152"/>
      <c r="K292" s="152"/>
      <c r="L292" s="152"/>
      <c r="M292" s="152"/>
      <c r="N292" s="152"/>
      <c r="O292" s="7"/>
      <c r="P292" s="197"/>
      <c r="Q292" s="103"/>
      <c r="S292" s="7"/>
      <c r="T292" s="7"/>
      <c r="U292" s="7"/>
      <c r="V292" s="7"/>
    </row>
    <row r="293" spans="2:22" ht="12.5">
      <c r="B293" s="152"/>
      <c r="C293" s="152"/>
      <c r="D293" s="152"/>
      <c r="E293" s="152"/>
      <c r="F293" s="152"/>
      <c r="G293" s="152"/>
      <c r="H293" s="152"/>
      <c r="I293" s="152"/>
      <c r="J293" s="152"/>
      <c r="K293" s="152"/>
      <c r="L293" s="152"/>
      <c r="M293" s="152"/>
      <c r="N293" s="152"/>
      <c r="O293" s="7"/>
      <c r="P293" s="197"/>
      <c r="Q293" s="103"/>
      <c r="S293" s="7"/>
      <c r="T293" s="7"/>
      <c r="U293" s="7"/>
      <c r="V293" s="7"/>
    </row>
    <row r="294" spans="2:22" ht="12.5">
      <c r="B294" s="152"/>
      <c r="C294" s="152"/>
      <c r="D294" s="152"/>
      <c r="E294" s="152"/>
      <c r="F294" s="152"/>
      <c r="G294" s="152"/>
      <c r="H294" s="152"/>
      <c r="I294" s="152"/>
      <c r="J294" s="152"/>
      <c r="K294" s="152"/>
      <c r="L294" s="152"/>
      <c r="M294" s="152"/>
      <c r="N294" s="152"/>
      <c r="O294" s="7"/>
      <c r="P294" s="197"/>
      <c r="Q294" s="103"/>
      <c r="S294" s="7"/>
      <c r="T294" s="7"/>
      <c r="U294" s="7"/>
      <c r="V294" s="7"/>
    </row>
    <row r="295" spans="2:22" ht="12.5">
      <c r="B295" s="152"/>
      <c r="C295" s="152"/>
      <c r="D295" s="152"/>
      <c r="E295" s="152"/>
      <c r="F295" s="152"/>
      <c r="G295" s="152"/>
      <c r="H295" s="152"/>
      <c r="I295" s="152"/>
      <c r="J295" s="152"/>
      <c r="K295" s="152"/>
      <c r="L295" s="152"/>
      <c r="M295" s="152"/>
      <c r="N295" s="152"/>
      <c r="O295" s="7"/>
      <c r="P295" s="197"/>
      <c r="Q295" s="103"/>
      <c r="S295" s="7"/>
      <c r="T295" s="7"/>
      <c r="U295" s="7"/>
      <c r="V295" s="7"/>
    </row>
    <row r="296" spans="2:22" ht="12.5">
      <c r="B296" s="152"/>
      <c r="C296" s="152"/>
      <c r="D296" s="152"/>
      <c r="E296" s="152"/>
      <c r="F296" s="152"/>
      <c r="G296" s="152"/>
      <c r="H296" s="152"/>
      <c r="I296" s="152"/>
      <c r="J296" s="152"/>
      <c r="K296" s="152"/>
      <c r="L296" s="152"/>
      <c r="M296" s="152"/>
      <c r="N296" s="152"/>
      <c r="O296" s="7"/>
      <c r="P296" s="197"/>
      <c r="Q296" s="103"/>
      <c r="S296" s="7"/>
      <c r="T296" s="7"/>
      <c r="U296" s="7"/>
      <c r="V296" s="7"/>
    </row>
    <row r="297" spans="2:22" ht="12.5">
      <c r="B297" s="152"/>
      <c r="C297" s="152"/>
      <c r="D297" s="152"/>
      <c r="E297" s="152"/>
      <c r="F297" s="152"/>
      <c r="G297" s="152"/>
      <c r="H297" s="152"/>
      <c r="I297" s="152"/>
      <c r="J297" s="152"/>
      <c r="K297" s="152"/>
      <c r="L297" s="152"/>
      <c r="M297" s="152"/>
      <c r="N297" s="152"/>
      <c r="O297" s="7"/>
      <c r="P297" s="197"/>
      <c r="Q297" s="103"/>
      <c r="S297" s="7"/>
      <c r="T297" s="7"/>
      <c r="U297" s="7"/>
      <c r="V297" s="7"/>
    </row>
    <row r="298" spans="2:22" ht="12.5">
      <c r="B298" s="152"/>
      <c r="C298" s="152"/>
      <c r="D298" s="152"/>
      <c r="E298" s="152"/>
      <c r="F298" s="152"/>
      <c r="G298" s="152"/>
      <c r="H298" s="152"/>
      <c r="I298" s="152"/>
      <c r="J298" s="152"/>
      <c r="K298" s="152"/>
      <c r="L298" s="152"/>
      <c r="M298" s="152"/>
      <c r="N298" s="152"/>
      <c r="O298" s="7"/>
      <c r="P298" s="197"/>
      <c r="Q298" s="103"/>
      <c r="S298" s="7"/>
      <c r="T298" s="7"/>
      <c r="U298" s="7"/>
      <c r="V298" s="7"/>
    </row>
    <row r="299" spans="2:22" ht="12.5">
      <c r="B299" s="152"/>
      <c r="C299" s="152"/>
      <c r="D299" s="152"/>
      <c r="E299" s="152"/>
      <c r="F299" s="152"/>
      <c r="G299" s="152"/>
      <c r="H299" s="152"/>
      <c r="I299" s="152"/>
      <c r="J299" s="152"/>
      <c r="K299" s="152"/>
      <c r="L299" s="152"/>
      <c r="M299" s="152"/>
      <c r="N299" s="152"/>
      <c r="O299" s="7"/>
      <c r="P299" s="197"/>
      <c r="Q299" s="103"/>
      <c r="S299" s="7"/>
      <c r="T299" s="7"/>
      <c r="U299" s="7"/>
      <c r="V299" s="7"/>
    </row>
    <row r="300" spans="2:22" ht="12.5">
      <c r="B300" s="152"/>
      <c r="C300" s="152"/>
      <c r="D300" s="152"/>
      <c r="E300" s="152"/>
      <c r="F300" s="152"/>
      <c r="G300" s="152"/>
      <c r="H300" s="152"/>
      <c r="I300" s="152"/>
      <c r="J300" s="152"/>
      <c r="K300" s="152"/>
      <c r="L300" s="152"/>
      <c r="M300" s="152"/>
      <c r="N300" s="152"/>
      <c r="O300" s="7"/>
      <c r="P300" s="197"/>
      <c r="Q300" s="103"/>
      <c r="S300" s="7"/>
      <c r="T300" s="7"/>
      <c r="U300" s="7"/>
      <c r="V300" s="7"/>
    </row>
    <row r="301" spans="2:22" ht="12.5">
      <c r="B301" s="152"/>
      <c r="C301" s="152"/>
      <c r="D301" s="152"/>
      <c r="E301" s="152"/>
      <c r="F301" s="152"/>
      <c r="G301" s="152"/>
      <c r="H301" s="152"/>
      <c r="I301" s="152"/>
      <c r="J301" s="152"/>
      <c r="K301" s="152"/>
      <c r="L301" s="152"/>
      <c r="M301" s="152"/>
      <c r="N301" s="152"/>
      <c r="O301" s="7"/>
      <c r="P301" s="197"/>
      <c r="Q301" s="103"/>
      <c r="S301" s="7"/>
      <c r="T301" s="7"/>
      <c r="U301" s="7"/>
      <c r="V301" s="7"/>
    </row>
    <row r="302" spans="2:22" ht="12.5">
      <c r="B302" s="152"/>
      <c r="C302" s="152"/>
      <c r="D302" s="152"/>
      <c r="E302" s="152"/>
      <c r="F302" s="152"/>
      <c r="G302" s="152"/>
      <c r="H302" s="152"/>
      <c r="I302" s="152"/>
      <c r="J302" s="152"/>
      <c r="K302" s="152"/>
      <c r="L302" s="152"/>
      <c r="M302" s="152"/>
      <c r="N302" s="152"/>
      <c r="O302" s="7"/>
      <c r="P302" s="197"/>
      <c r="Q302" s="103"/>
      <c r="S302" s="7"/>
      <c r="T302" s="7"/>
      <c r="U302" s="7"/>
      <c r="V302" s="7"/>
    </row>
    <row r="303" spans="2:22" ht="12.5">
      <c r="B303" s="152"/>
      <c r="C303" s="152"/>
      <c r="D303" s="152"/>
      <c r="E303" s="152"/>
      <c r="F303" s="152"/>
      <c r="G303" s="152"/>
      <c r="H303" s="152"/>
      <c r="I303" s="152"/>
      <c r="J303" s="152"/>
      <c r="K303" s="152"/>
      <c r="L303" s="152"/>
      <c r="M303" s="152"/>
      <c r="N303" s="152"/>
      <c r="O303" s="7"/>
      <c r="P303" s="197"/>
      <c r="Q303" s="103"/>
      <c r="S303" s="7"/>
      <c r="T303" s="7"/>
      <c r="U303" s="7"/>
      <c r="V303" s="7"/>
    </row>
    <row r="304" spans="2:22" ht="12.5">
      <c r="B304" s="152"/>
      <c r="C304" s="152"/>
      <c r="D304" s="152"/>
      <c r="E304" s="152"/>
      <c r="F304" s="152"/>
      <c r="G304" s="152"/>
      <c r="H304" s="152"/>
      <c r="I304" s="152"/>
      <c r="J304" s="152"/>
      <c r="K304" s="152"/>
      <c r="L304" s="152"/>
      <c r="M304" s="152"/>
      <c r="N304" s="152"/>
      <c r="O304" s="7"/>
      <c r="P304" s="197"/>
      <c r="Q304" s="103"/>
      <c r="S304" s="7"/>
      <c r="T304" s="7"/>
      <c r="U304" s="7"/>
      <c r="V304" s="7"/>
    </row>
    <row r="305" spans="2:22" ht="12.5">
      <c r="B305" s="152"/>
      <c r="C305" s="152"/>
      <c r="D305" s="152"/>
      <c r="E305" s="152"/>
      <c r="F305" s="152"/>
      <c r="G305" s="152"/>
      <c r="H305" s="152"/>
      <c r="I305" s="152"/>
      <c r="J305" s="152"/>
      <c r="K305" s="152"/>
      <c r="L305" s="152"/>
      <c r="M305" s="152"/>
      <c r="N305" s="152"/>
      <c r="O305" s="7"/>
      <c r="P305" s="197"/>
      <c r="Q305" s="103"/>
      <c r="S305" s="7"/>
      <c r="T305" s="7"/>
      <c r="U305" s="7"/>
      <c r="V305" s="7"/>
    </row>
    <row r="306" spans="2:22" ht="12.5">
      <c r="B306" s="152"/>
      <c r="C306" s="152"/>
      <c r="D306" s="152"/>
      <c r="E306" s="152"/>
      <c r="F306" s="152"/>
      <c r="G306" s="152"/>
      <c r="H306" s="152"/>
      <c r="I306" s="152"/>
      <c r="J306" s="152"/>
      <c r="K306" s="152"/>
      <c r="L306" s="152"/>
      <c r="M306" s="152"/>
      <c r="N306" s="152"/>
      <c r="O306" s="7"/>
      <c r="P306" s="197"/>
      <c r="Q306" s="103"/>
      <c r="S306" s="7"/>
      <c r="T306" s="7"/>
      <c r="U306" s="7"/>
      <c r="V306" s="7"/>
    </row>
    <row r="307" spans="2:22" ht="12.5">
      <c r="B307" s="152"/>
      <c r="C307" s="152"/>
      <c r="D307" s="152"/>
      <c r="E307" s="152"/>
      <c r="F307" s="152"/>
      <c r="G307" s="152"/>
      <c r="H307" s="152"/>
      <c r="I307" s="152"/>
      <c r="J307" s="152"/>
      <c r="K307" s="152"/>
      <c r="L307" s="152"/>
      <c r="M307" s="152"/>
      <c r="N307" s="152"/>
      <c r="O307" s="7"/>
      <c r="P307" s="197"/>
      <c r="Q307" s="103"/>
      <c r="S307" s="7"/>
      <c r="T307" s="7"/>
      <c r="U307" s="7"/>
      <c r="V307" s="7"/>
    </row>
    <row r="308" spans="2:22" ht="12.5">
      <c r="B308" s="152"/>
      <c r="C308" s="152"/>
      <c r="D308" s="152"/>
      <c r="E308" s="152"/>
      <c r="F308" s="152"/>
      <c r="G308" s="152"/>
      <c r="H308" s="152"/>
      <c r="I308" s="152"/>
      <c r="J308" s="152"/>
      <c r="K308" s="152"/>
      <c r="L308" s="152"/>
      <c r="M308" s="152"/>
      <c r="N308" s="152"/>
      <c r="O308" s="7"/>
      <c r="P308" s="197"/>
      <c r="Q308" s="103"/>
      <c r="S308" s="7"/>
      <c r="T308" s="7"/>
      <c r="U308" s="7"/>
      <c r="V308" s="7"/>
    </row>
    <row r="309" spans="2:22" ht="12.5">
      <c r="B309" s="152"/>
      <c r="C309" s="152"/>
      <c r="D309" s="152"/>
      <c r="E309" s="152"/>
      <c r="F309" s="152"/>
      <c r="G309" s="152"/>
      <c r="H309" s="152"/>
      <c r="I309" s="152"/>
      <c r="J309" s="152"/>
      <c r="K309" s="152"/>
      <c r="L309" s="152"/>
      <c r="M309" s="152"/>
      <c r="N309" s="152"/>
      <c r="O309" s="7"/>
      <c r="P309" s="197"/>
      <c r="Q309" s="103"/>
      <c r="S309" s="7"/>
      <c r="T309" s="7"/>
      <c r="U309" s="7"/>
      <c r="V309" s="7"/>
    </row>
    <row r="310" spans="2:22" ht="12.5">
      <c r="B310" s="152"/>
      <c r="C310" s="152"/>
      <c r="D310" s="152"/>
      <c r="E310" s="152"/>
      <c r="F310" s="152"/>
      <c r="G310" s="152"/>
      <c r="H310" s="152"/>
      <c r="I310" s="152"/>
      <c r="J310" s="152"/>
      <c r="K310" s="152"/>
      <c r="L310" s="152"/>
      <c r="M310" s="152"/>
      <c r="N310" s="152"/>
      <c r="O310" s="7"/>
      <c r="P310" s="197"/>
      <c r="Q310" s="103"/>
      <c r="S310" s="7"/>
      <c r="T310" s="7"/>
      <c r="U310" s="7"/>
      <c r="V310" s="7"/>
    </row>
    <row r="311" spans="2:22" ht="12.5">
      <c r="B311" s="152"/>
      <c r="C311" s="152"/>
      <c r="D311" s="152"/>
      <c r="E311" s="152"/>
      <c r="F311" s="152"/>
      <c r="G311" s="152"/>
      <c r="H311" s="152"/>
      <c r="I311" s="152"/>
      <c r="J311" s="152"/>
      <c r="K311" s="152"/>
      <c r="L311" s="152"/>
      <c r="M311" s="152"/>
      <c r="N311" s="152"/>
      <c r="O311" s="7"/>
      <c r="P311" s="197"/>
      <c r="Q311" s="103"/>
      <c r="S311" s="7"/>
      <c r="T311" s="7"/>
      <c r="U311" s="7"/>
      <c r="V311" s="7"/>
    </row>
    <row r="312" spans="2:22" ht="12.5">
      <c r="B312" s="152"/>
      <c r="C312" s="152"/>
      <c r="D312" s="152"/>
      <c r="E312" s="152"/>
      <c r="F312" s="152"/>
      <c r="G312" s="152"/>
      <c r="H312" s="152"/>
      <c r="I312" s="152"/>
      <c r="J312" s="152"/>
      <c r="K312" s="152"/>
      <c r="L312" s="152"/>
      <c r="M312" s="152"/>
      <c r="N312" s="152"/>
      <c r="O312" s="7"/>
      <c r="P312" s="197"/>
      <c r="Q312" s="103"/>
      <c r="S312" s="7"/>
      <c r="T312" s="7"/>
      <c r="U312" s="7"/>
      <c r="V312" s="7"/>
    </row>
    <row r="313" spans="2:22" ht="12.5">
      <c r="B313" s="152"/>
      <c r="C313" s="152"/>
      <c r="D313" s="152"/>
      <c r="E313" s="152"/>
      <c r="F313" s="152"/>
      <c r="G313" s="152"/>
      <c r="H313" s="152"/>
      <c r="I313" s="152"/>
      <c r="J313" s="152"/>
      <c r="K313" s="152"/>
      <c r="L313" s="152"/>
      <c r="M313" s="152"/>
      <c r="N313" s="152"/>
      <c r="O313" s="7"/>
      <c r="P313" s="197"/>
      <c r="Q313" s="103"/>
      <c r="S313" s="7"/>
      <c r="T313" s="7"/>
      <c r="U313" s="7"/>
      <c r="V313" s="7"/>
    </row>
    <row r="314" spans="2:22" ht="12.5">
      <c r="B314" s="152"/>
      <c r="C314" s="152"/>
      <c r="D314" s="152"/>
      <c r="E314" s="152"/>
      <c r="F314" s="152"/>
      <c r="G314" s="152"/>
      <c r="H314" s="152"/>
      <c r="I314" s="152"/>
      <c r="J314" s="152"/>
      <c r="K314" s="152"/>
      <c r="L314" s="152"/>
      <c r="M314" s="152"/>
      <c r="N314" s="152"/>
      <c r="O314" s="7"/>
      <c r="P314" s="197"/>
      <c r="Q314" s="103"/>
      <c r="S314" s="7"/>
      <c r="T314" s="7"/>
      <c r="U314" s="7"/>
      <c r="V314" s="7"/>
    </row>
    <row r="315" spans="2:22" ht="12.5">
      <c r="B315" s="152"/>
      <c r="C315" s="152"/>
      <c r="D315" s="152"/>
      <c r="E315" s="152"/>
      <c r="F315" s="152"/>
      <c r="G315" s="152"/>
      <c r="H315" s="152"/>
      <c r="I315" s="152"/>
      <c r="J315" s="152"/>
      <c r="K315" s="152"/>
      <c r="L315" s="152"/>
      <c r="M315" s="152"/>
      <c r="N315" s="152"/>
      <c r="O315" s="7"/>
      <c r="P315" s="197"/>
      <c r="Q315" s="103"/>
      <c r="S315" s="7"/>
      <c r="T315" s="7"/>
      <c r="U315" s="7"/>
      <c r="V315" s="7"/>
    </row>
    <row r="316" spans="2:22" ht="12.5">
      <c r="B316" s="152"/>
      <c r="C316" s="152"/>
      <c r="D316" s="152"/>
      <c r="E316" s="152"/>
      <c r="F316" s="152"/>
      <c r="G316" s="152"/>
      <c r="H316" s="152"/>
      <c r="I316" s="152"/>
      <c r="J316" s="152"/>
      <c r="K316" s="152"/>
      <c r="L316" s="152"/>
      <c r="M316" s="152"/>
      <c r="N316" s="152"/>
      <c r="O316" s="7"/>
      <c r="P316" s="197"/>
      <c r="Q316" s="103"/>
      <c r="S316" s="7"/>
      <c r="T316" s="7"/>
      <c r="U316" s="7"/>
      <c r="V316" s="7"/>
    </row>
    <row r="317" spans="2:22" ht="12.5">
      <c r="B317" s="152"/>
      <c r="C317" s="152"/>
      <c r="D317" s="152"/>
      <c r="E317" s="152"/>
      <c r="F317" s="152"/>
      <c r="G317" s="152"/>
      <c r="H317" s="152"/>
      <c r="I317" s="152"/>
      <c r="J317" s="152"/>
      <c r="K317" s="152"/>
      <c r="L317" s="152"/>
      <c r="M317" s="152"/>
      <c r="N317" s="152"/>
      <c r="O317" s="7"/>
      <c r="P317" s="197"/>
      <c r="Q317" s="103"/>
      <c r="S317" s="7"/>
      <c r="T317" s="7"/>
      <c r="U317" s="7"/>
      <c r="V317" s="7"/>
    </row>
    <row r="318" spans="2:22" ht="12.5">
      <c r="B318" s="152"/>
      <c r="C318" s="152"/>
      <c r="D318" s="152"/>
      <c r="E318" s="152"/>
      <c r="F318" s="152"/>
      <c r="G318" s="152"/>
      <c r="H318" s="152"/>
      <c r="I318" s="152"/>
      <c r="J318" s="152"/>
      <c r="K318" s="152"/>
      <c r="L318" s="152"/>
      <c r="M318" s="152"/>
      <c r="N318" s="152"/>
      <c r="O318" s="7"/>
      <c r="P318" s="197"/>
      <c r="Q318" s="103"/>
      <c r="S318" s="7"/>
      <c r="T318" s="7"/>
      <c r="U318" s="7"/>
      <c r="V318" s="7"/>
    </row>
    <row r="319" spans="2:22" ht="12.5">
      <c r="B319" s="152"/>
      <c r="C319" s="152"/>
      <c r="D319" s="152"/>
      <c r="E319" s="152"/>
      <c r="F319" s="152"/>
      <c r="G319" s="152"/>
      <c r="H319" s="152"/>
      <c r="I319" s="152"/>
      <c r="J319" s="152"/>
      <c r="K319" s="152"/>
      <c r="L319" s="152"/>
      <c r="M319" s="152"/>
      <c r="N319" s="152"/>
      <c r="O319" s="7"/>
      <c r="P319" s="197"/>
      <c r="Q319" s="103"/>
      <c r="S319" s="7"/>
      <c r="T319" s="7"/>
      <c r="U319" s="7"/>
      <c r="V319" s="7"/>
    </row>
    <row r="320" spans="2:22" ht="12.5">
      <c r="B320" s="152"/>
      <c r="C320" s="152"/>
      <c r="D320" s="152"/>
      <c r="E320" s="152"/>
      <c r="F320" s="152"/>
      <c r="G320" s="152"/>
      <c r="H320" s="152"/>
      <c r="I320" s="152"/>
      <c r="J320" s="152"/>
      <c r="K320" s="152"/>
      <c r="L320" s="152"/>
      <c r="M320" s="152"/>
      <c r="N320" s="152"/>
      <c r="O320" s="7"/>
      <c r="P320" s="197"/>
      <c r="Q320" s="103"/>
      <c r="S320" s="7"/>
      <c r="T320" s="7"/>
      <c r="U320" s="7"/>
      <c r="V320" s="7"/>
    </row>
    <row r="321" spans="2:22" ht="12.5">
      <c r="B321" s="152"/>
      <c r="C321" s="152"/>
      <c r="D321" s="152"/>
      <c r="E321" s="152"/>
      <c r="F321" s="152"/>
      <c r="G321" s="152"/>
      <c r="H321" s="152"/>
      <c r="I321" s="152"/>
      <c r="J321" s="152"/>
      <c r="K321" s="152"/>
      <c r="L321" s="152"/>
      <c r="M321" s="152"/>
      <c r="N321" s="152"/>
      <c r="O321" s="7"/>
      <c r="P321" s="197"/>
      <c r="Q321" s="103"/>
      <c r="S321" s="7"/>
      <c r="T321" s="7"/>
      <c r="U321" s="7"/>
      <c r="V321" s="7"/>
    </row>
    <row r="322" spans="2:22" ht="12.5">
      <c r="B322" s="152"/>
      <c r="C322" s="152"/>
      <c r="D322" s="152"/>
      <c r="E322" s="152"/>
      <c r="F322" s="152"/>
      <c r="G322" s="152"/>
      <c r="H322" s="152"/>
      <c r="I322" s="152"/>
      <c r="J322" s="152"/>
      <c r="K322" s="152"/>
      <c r="L322" s="152"/>
      <c r="M322" s="152"/>
      <c r="N322" s="152"/>
      <c r="O322" s="7"/>
      <c r="P322" s="197"/>
      <c r="Q322" s="103"/>
      <c r="S322" s="7"/>
      <c r="T322" s="7"/>
      <c r="U322" s="7"/>
      <c r="V322" s="7"/>
    </row>
    <row r="323" spans="2:22" ht="12.5">
      <c r="B323" s="152"/>
      <c r="C323" s="152"/>
      <c r="D323" s="152"/>
      <c r="E323" s="152"/>
      <c r="F323" s="152"/>
      <c r="G323" s="152"/>
      <c r="H323" s="152"/>
      <c r="I323" s="152"/>
      <c r="J323" s="152"/>
      <c r="K323" s="152"/>
      <c r="L323" s="152"/>
      <c r="M323" s="152"/>
      <c r="N323" s="152"/>
      <c r="O323" s="7"/>
      <c r="P323" s="197"/>
      <c r="Q323" s="103"/>
      <c r="S323" s="7"/>
      <c r="T323" s="7"/>
      <c r="U323" s="7"/>
      <c r="V323" s="7"/>
    </row>
    <row r="324" spans="2:22" ht="12.5">
      <c r="B324" s="152"/>
      <c r="C324" s="152"/>
      <c r="D324" s="152"/>
      <c r="E324" s="152"/>
      <c r="F324" s="152"/>
      <c r="G324" s="152"/>
      <c r="H324" s="152"/>
      <c r="I324" s="152"/>
      <c r="J324" s="152"/>
      <c r="K324" s="152"/>
      <c r="L324" s="152"/>
      <c r="M324" s="152"/>
      <c r="N324" s="152"/>
      <c r="O324" s="7"/>
      <c r="P324" s="197"/>
      <c r="Q324" s="103"/>
      <c r="S324" s="7"/>
      <c r="T324" s="7"/>
      <c r="U324" s="7"/>
      <c r="V324" s="7"/>
    </row>
    <row r="325" spans="2:22" ht="12.5">
      <c r="B325" s="152"/>
      <c r="C325" s="152"/>
      <c r="D325" s="152"/>
      <c r="E325" s="152"/>
      <c r="F325" s="152"/>
      <c r="G325" s="152"/>
      <c r="H325" s="152"/>
      <c r="I325" s="152"/>
      <c r="J325" s="152"/>
      <c r="K325" s="152"/>
      <c r="L325" s="152"/>
      <c r="M325" s="152"/>
      <c r="N325" s="152"/>
      <c r="O325" s="7"/>
      <c r="P325" s="197"/>
      <c r="Q325" s="103"/>
      <c r="S325" s="7"/>
      <c r="T325" s="7"/>
      <c r="U325" s="7"/>
      <c r="V325" s="7"/>
    </row>
    <row r="326" spans="2:22" ht="12.5">
      <c r="B326" s="152"/>
      <c r="C326" s="152"/>
      <c r="D326" s="152"/>
      <c r="E326" s="152"/>
      <c r="F326" s="152"/>
      <c r="G326" s="152"/>
      <c r="H326" s="152"/>
      <c r="I326" s="152"/>
      <c r="J326" s="152"/>
      <c r="K326" s="152"/>
      <c r="L326" s="152"/>
      <c r="M326" s="152"/>
      <c r="N326" s="152"/>
      <c r="O326" s="7"/>
      <c r="P326" s="197"/>
      <c r="Q326" s="103"/>
      <c r="S326" s="7"/>
      <c r="T326" s="7"/>
      <c r="U326" s="7"/>
      <c r="V326" s="7"/>
    </row>
    <row r="327" spans="2:22" ht="12.5">
      <c r="B327" s="152"/>
      <c r="C327" s="152"/>
      <c r="D327" s="152"/>
      <c r="E327" s="152"/>
      <c r="F327" s="152"/>
      <c r="G327" s="152"/>
      <c r="H327" s="152"/>
      <c r="I327" s="152"/>
      <c r="J327" s="152"/>
      <c r="K327" s="152"/>
      <c r="L327" s="152"/>
      <c r="M327" s="152"/>
      <c r="N327" s="152"/>
      <c r="O327" s="7"/>
      <c r="P327" s="197"/>
      <c r="Q327" s="103"/>
      <c r="S327" s="7"/>
      <c r="T327" s="7"/>
      <c r="U327" s="7"/>
      <c r="V327" s="7"/>
    </row>
    <row r="328" spans="2:22" ht="12.5">
      <c r="B328" s="152"/>
      <c r="C328" s="152"/>
      <c r="D328" s="152"/>
      <c r="E328" s="152"/>
      <c r="F328" s="152"/>
      <c r="G328" s="152"/>
      <c r="H328" s="152"/>
      <c r="I328" s="152"/>
      <c r="J328" s="152"/>
      <c r="K328" s="152"/>
      <c r="L328" s="152"/>
      <c r="M328" s="152"/>
      <c r="N328" s="152"/>
      <c r="O328" s="7"/>
      <c r="P328" s="197"/>
      <c r="Q328" s="103"/>
      <c r="S328" s="7"/>
      <c r="T328" s="7"/>
      <c r="U328" s="7"/>
      <c r="V328" s="7"/>
    </row>
    <row r="329" spans="2:22" ht="12.5">
      <c r="B329" s="152"/>
      <c r="C329" s="152"/>
      <c r="D329" s="152"/>
      <c r="E329" s="152"/>
      <c r="F329" s="152"/>
      <c r="G329" s="152"/>
      <c r="H329" s="152"/>
      <c r="I329" s="152"/>
      <c r="J329" s="152"/>
      <c r="K329" s="152"/>
      <c r="L329" s="152"/>
      <c r="M329" s="152"/>
      <c r="N329" s="152"/>
      <c r="O329" s="7"/>
      <c r="P329" s="197"/>
      <c r="Q329" s="103"/>
      <c r="S329" s="7"/>
      <c r="T329" s="7"/>
      <c r="U329" s="7"/>
      <c r="V329" s="7"/>
    </row>
    <row r="330" spans="2:22" ht="12.5">
      <c r="B330" s="152"/>
      <c r="C330" s="152"/>
      <c r="D330" s="152"/>
      <c r="E330" s="152"/>
      <c r="F330" s="152"/>
      <c r="G330" s="152"/>
      <c r="H330" s="152"/>
      <c r="I330" s="152"/>
      <c r="J330" s="152"/>
      <c r="K330" s="152"/>
      <c r="L330" s="152"/>
      <c r="M330" s="152"/>
      <c r="N330" s="152"/>
      <c r="O330" s="7"/>
      <c r="P330" s="197"/>
      <c r="Q330" s="103"/>
      <c r="S330" s="7"/>
      <c r="T330" s="7"/>
      <c r="U330" s="7"/>
      <c r="V330" s="7"/>
    </row>
    <row r="331" spans="2:22" ht="12.5">
      <c r="B331" s="152"/>
      <c r="C331" s="152"/>
      <c r="D331" s="152"/>
      <c r="E331" s="152"/>
      <c r="F331" s="152"/>
      <c r="G331" s="152"/>
      <c r="H331" s="152"/>
      <c r="I331" s="152"/>
      <c r="J331" s="152"/>
      <c r="K331" s="152"/>
      <c r="L331" s="152"/>
      <c r="M331" s="152"/>
      <c r="N331" s="152"/>
      <c r="O331" s="7"/>
      <c r="P331" s="197"/>
      <c r="Q331" s="103"/>
      <c r="S331" s="7"/>
      <c r="T331" s="7"/>
      <c r="U331" s="7"/>
      <c r="V331" s="7"/>
    </row>
    <row r="332" spans="2:22" ht="12.5">
      <c r="B332" s="152"/>
      <c r="C332" s="152"/>
      <c r="D332" s="152"/>
      <c r="E332" s="152"/>
      <c r="F332" s="152"/>
      <c r="G332" s="152"/>
      <c r="H332" s="152"/>
      <c r="I332" s="152"/>
      <c r="J332" s="152"/>
      <c r="K332" s="152"/>
      <c r="L332" s="152"/>
      <c r="M332" s="152"/>
      <c r="N332" s="152"/>
      <c r="O332" s="7"/>
      <c r="P332" s="197"/>
      <c r="Q332" s="103"/>
      <c r="S332" s="7"/>
      <c r="T332" s="7"/>
      <c r="U332" s="7"/>
      <c r="V332" s="7"/>
    </row>
    <row r="333" spans="2:22" ht="12.5">
      <c r="B333" s="152"/>
      <c r="C333" s="152"/>
      <c r="D333" s="152"/>
      <c r="E333" s="152"/>
      <c r="F333" s="152"/>
      <c r="G333" s="152"/>
      <c r="H333" s="152"/>
      <c r="I333" s="152"/>
      <c r="J333" s="152"/>
      <c r="K333" s="152"/>
      <c r="L333" s="152"/>
      <c r="M333" s="152"/>
      <c r="N333" s="152"/>
      <c r="O333" s="7"/>
      <c r="P333" s="197"/>
      <c r="Q333" s="103"/>
      <c r="S333" s="7"/>
      <c r="T333" s="7"/>
      <c r="U333" s="7"/>
      <c r="V333" s="7"/>
    </row>
    <row r="334" spans="2:22" ht="12.5">
      <c r="B334" s="152"/>
      <c r="C334" s="152"/>
      <c r="D334" s="152"/>
      <c r="E334" s="152"/>
      <c r="F334" s="152"/>
      <c r="G334" s="152"/>
      <c r="H334" s="152"/>
      <c r="I334" s="152"/>
      <c r="J334" s="152"/>
      <c r="K334" s="152"/>
      <c r="L334" s="152"/>
      <c r="M334" s="152"/>
      <c r="N334" s="152"/>
      <c r="O334" s="7"/>
      <c r="P334" s="197"/>
      <c r="Q334" s="103"/>
      <c r="S334" s="7"/>
      <c r="T334" s="7"/>
      <c r="U334" s="7"/>
      <c r="V334" s="7"/>
    </row>
    <row r="335" spans="2:22" ht="12.5">
      <c r="B335" s="152"/>
      <c r="C335" s="152"/>
      <c r="D335" s="152"/>
      <c r="E335" s="152"/>
      <c r="F335" s="152"/>
      <c r="G335" s="152"/>
      <c r="H335" s="152"/>
      <c r="I335" s="152"/>
      <c r="J335" s="152"/>
      <c r="K335" s="152"/>
      <c r="L335" s="152"/>
      <c r="M335" s="152"/>
      <c r="N335" s="152"/>
      <c r="O335" s="7"/>
      <c r="P335" s="197"/>
      <c r="Q335" s="103"/>
      <c r="S335" s="7"/>
      <c r="T335" s="7"/>
      <c r="U335" s="7"/>
      <c r="V335" s="7"/>
    </row>
    <row r="336" spans="2:22" ht="12.5">
      <c r="B336" s="152"/>
      <c r="C336" s="152"/>
      <c r="D336" s="152"/>
      <c r="E336" s="152"/>
      <c r="F336" s="152"/>
      <c r="G336" s="152"/>
      <c r="H336" s="152"/>
      <c r="I336" s="152"/>
      <c r="J336" s="152"/>
      <c r="K336" s="152"/>
      <c r="L336" s="152"/>
      <c r="M336" s="152"/>
      <c r="N336" s="152"/>
      <c r="O336" s="7"/>
      <c r="P336" s="197"/>
      <c r="Q336" s="103"/>
      <c r="S336" s="7"/>
      <c r="T336" s="7"/>
      <c r="U336" s="7"/>
      <c r="V336" s="7"/>
    </row>
    <row r="337" spans="2:22" ht="12.5">
      <c r="B337" s="152"/>
      <c r="C337" s="152"/>
      <c r="D337" s="152"/>
      <c r="E337" s="152"/>
      <c r="F337" s="152"/>
      <c r="G337" s="152"/>
      <c r="H337" s="152"/>
      <c r="I337" s="152"/>
      <c r="J337" s="152"/>
      <c r="K337" s="152"/>
      <c r="L337" s="152"/>
      <c r="M337" s="152"/>
      <c r="N337" s="152"/>
      <c r="O337" s="7"/>
      <c r="P337" s="197"/>
      <c r="Q337" s="103"/>
      <c r="S337" s="7"/>
      <c r="T337" s="7"/>
      <c r="U337" s="7"/>
      <c r="V337" s="7"/>
    </row>
    <row r="338" spans="2:22" ht="12.5">
      <c r="B338" s="152"/>
      <c r="C338" s="152"/>
      <c r="D338" s="152"/>
      <c r="E338" s="152"/>
      <c r="F338" s="152"/>
      <c r="G338" s="152"/>
      <c r="H338" s="152"/>
      <c r="I338" s="152"/>
      <c r="J338" s="152"/>
      <c r="K338" s="152"/>
      <c r="L338" s="152"/>
      <c r="M338" s="152"/>
      <c r="N338" s="152"/>
      <c r="O338" s="7"/>
      <c r="P338" s="197"/>
      <c r="Q338" s="103"/>
      <c r="S338" s="7"/>
      <c r="T338" s="7"/>
      <c r="U338" s="7"/>
      <c r="V338" s="7"/>
    </row>
    <row r="339" spans="2:22" ht="12.5">
      <c r="B339" s="152"/>
      <c r="C339" s="152"/>
      <c r="D339" s="152"/>
      <c r="E339" s="152"/>
      <c r="F339" s="152"/>
      <c r="G339" s="152"/>
      <c r="H339" s="152"/>
      <c r="I339" s="152"/>
      <c r="J339" s="152"/>
      <c r="K339" s="152"/>
      <c r="L339" s="152"/>
      <c r="M339" s="152"/>
      <c r="N339" s="152"/>
      <c r="O339" s="7"/>
      <c r="P339" s="197"/>
      <c r="Q339" s="103"/>
      <c r="S339" s="7"/>
      <c r="T339" s="7"/>
      <c r="U339" s="7"/>
      <c r="V339" s="7"/>
    </row>
    <row r="340" spans="2:22" ht="12.5">
      <c r="B340" s="152"/>
      <c r="C340" s="152"/>
      <c r="D340" s="152"/>
      <c r="E340" s="152"/>
      <c r="F340" s="152"/>
      <c r="G340" s="152"/>
      <c r="H340" s="152"/>
      <c r="I340" s="152"/>
      <c r="J340" s="152"/>
      <c r="K340" s="152"/>
      <c r="L340" s="152"/>
      <c r="M340" s="152"/>
      <c r="N340" s="152"/>
      <c r="O340" s="7"/>
      <c r="P340" s="197"/>
      <c r="Q340" s="103"/>
      <c r="S340" s="7"/>
      <c r="T340" s="7"/>
      <c r="U340" s="7"/>
      <c r="V340" s="7"/>
    </row>
    <row r="341" spans="2:22" ht="12.5">
      <c r="B341" s="152"/>
      <c r="C341" s="152"/>
      <c r="D341" s="152"/>
      <c r="E341" s="152"/>
      <c r="F341" s="152"/>
      <c r="G341" s="152"/>
      <c r="H341" s="152"/>
      <c r="I341" s="152"/>
      <c r="J341" s="152"/>
      <c r="K341" s="152"/>
      <c r="L341" s="152"/>
      <c r="M341" s="152"/>
      <c r="N341" s="152"/>
      <c r="O341" s="7"/>
      <c r="P341" s="197"/>
      <c r="Q341" s="103"/>
      <c r="S341" s="7"/>
      <c r="T341" s="7"/>
      <c r="U341" s="7"/>
      <c r="V341" s="7"/>
    </row>
    <row r="342" spans="2:22" ht="12.5">
      <c r="B342" s="152"/>
      <c r="C342" s="152"/>
      <c r="D342" s="152"/>
      <c r="E342" s="152"/>
      <c r="F342" s="152"/>
      <c r="G342" s="152"/>
      <c r="H342" s="152"/>
      <c r="I342" s="152"/>
      <c r="J342" s="152"/>
      <c r="K342" s="152"/>
      <c r="L342" s="152"/>
      <c r="M342" s="152"/>
      <c r="N342" s="152"/>
      <c r="O342" s="7"/>
      <c r="P342" s="197"/>
      <c r="Q342" s="103"/>
      <c r="S342" s="7"/>
      <c r="T342" s="7"/>
      <c r="U342" s="7"/>
      <c r="V342" s="7"/>
    </row>
    <row r="343" spans="2:22" ht="12.5">
      <c r="B343" s="152"/>
      <c r="C343" s="152"/>
      <c r="D343" s="152"/>
      <c r="E343" s="152"/>
      <c r="F343" s="152"/>
      <c r="G343" s="152"/>
      <c r="H343" s="152"/>
      <c r="I343" s="152"/>
      <c r="J343" s="152"/>
      <c r="K343" s="152"/>
      <c r="L343" s="152"/>
      <c r="M343" s="152"/>
      <c r="N343" s="152"/>
      <c r="O343" s="7"/>
      <c r="P343" s="197"/>
      <c r="Q343" s="103"/>
      <c r="S343" s="7"/>
      <c r="T343" s="7"/>
      <c r="U343" s="7"/>
      <c r="V343" s="7"/>
    </row>
    <row r="344" spans="2:22" ht="12.5">
      <c r="B344" s="152"/>
      <c r="C344" s="152"/>
      <c r="D344" s="152"/>
      <c r="E344" s="152"/>
      <c r="F344" s="152"/>
      <c r="G344" s="152"/>
      <c r="H344" s="152"/>
      <c r="I344" s="152"/>
      <c r="J344" s="152"/>
      <c r="K344" s="152"/>
      <c r="L344" s="152"/>
      <c r="M344" s="152"/>
      <c r="N344" s="152"/>
      <c r="O344" s="7"/>
      <c r="P344" s="197"/>
      <c r="Q344" s="103"/>
      <c r="S344" s="7"/>
      <c r="T344" s="7"/>
      <c r="U344" s="7"/>
      <c r="V344" s="7"/>
    </row>
    <row r="345" spans="2:22" ht="12.5">
      <c r="B345" s="152"/>
      <c r="C345" s="152"/>
      <c r="D345" s="152"/>
      <c r="E345" s="152"/>
      <c r="F345" s="152"/>
      <c r="G345" s="152"/>
      <c r="H345" s="152"/>
      <c r="I345" s="152"/>
      <c r="J345" s="152"/>
      <c r="K345" s="152"/>
      <c r="L345" s="152"/>
      <c r="M345" s="152"/>
      <c r="N345" s="152"/>
      <c r="O345" s="7"/>
      <c r="P345" s="197"/>
      <c r="Q345" s="103"/>
      <c r="S345" s="7"/>
      <c r="T345" s="7"/>
      <c r="U345" s="7"/>
      <c r="V345" s="7"/>
    </row>
    <row r="346" spans="2:22" ht="12.5">
      <c r="B346" s="152"/>
      <c r="C346" s="152"/>
      <c r="D346" s="152"/>
      <c r="E346" s="152"/>
      <c r="F346" s="152"/>
      <c r="G346" s="152"/>
      <c r="H346" s="152"/>
      <c r="I346" s="152"/>
      <c r="J346" s="152"/>
      <c r="K346" s="152"/>
      <c r="L346" s="152"/>
      <c r="M346" s="152"/>
      <c r="N346" s="152"/>
      <c r="O346" s="7"/>
      <c r="P346" s="197"/>
      <c r="Q346" s="103"/>
      <c r="S346" s="7"/>
      <c r="T346" s="7"/>
      <c r="U346" s="7"/>
      <c r="V346" s="7"/>
    </row>
    <row r="347" spans="2:22" ht="12.5">
      <c r="B347" s="152"/>
      <c r="C347" s="152"/>
      <c r="D347" s="152"/>
      <c r="E347" s="152"/>
      <c r="F347" s="152"/>
      <c r="G347" s="152"/>
      <c r="H347" s="152"/>
      <c r="I347" s="152"/>
      <c r="J347" s="152"/>
      <c r="K347" s="152"/>
      <c r="L347" s="152"/>
      <c r="M347" s="152"/>
      <c r="N347" s="152"/>
      <c r="O347" s="7"/>
      <c r="P347" s="197"/>
      <c r="Q347" s="103"/>
      <c r="S347" s="7"/>
      <c r="T347" s="7"/>
      <c r="U347" s="7"/>
      <c r="V347" s="7"/>
    </row>
    <row r="348" spans="2:22" ht="12.5">
      <c r="B348" s="152"/>
      <c r="C348" s="152"/>
      <c r="D348" s="152"/>
      <c r="E348" s="152"/>
      <c r="F348" s="152"/>
      <c r="G348" s="152"/>
      <c r="H348" s="152"/>
      <c r="I348" s="152"/>
      <c r="J348" s="152"/>
      <c r="K348" s="152"/>
      <c r="L348" s="152"/>
      <c r="M348" s="152"/>
      <c r="N348" s="152"/>
      <c r="O348" s="7"/>
      <c r="P348" s="197"/>
      <c r="Q348" s="103"/>
      <c r="S348" s="7"/>
      <c r="T348" s="7"/>
      <c r="U348" s="7"/>
      <c r="V348" s="7"/>
    </row>
    <row r="349" spans="2:22" ht="12.5">
      <c r="B349" s="152"/>
      <c r="C349" s="152"/>
      <c r="D349" s="152"/>
      <c r="E349" s="152"/>
      <c r="F349" s="152"/>
      <c r="G349" s="152"/>
      <c r="H349" s="152"/>
      <c r="I349" s="152"/>
      <c r="J349" s="152"/>
      <c r="K349" s="152"/>
      <c r="L349" s="152"/>
      <c r="M349" s="152"/>
      <c r="N349" s="152"/>
      <c r="O349" s="7"/>
      <c r="P349" s="197"/>
      <c r="Q349" s="103"/>
      <c r="S349" s="7"/>
      <c r="T349" s="7"/>
      <c r="U349" s="7"/>
      <c r="V349" s="7"/>
    </row>
    <row r="350" spans="2:22" ht="12.5">
      <c r="B350" s="152"/>
      <c r="C350" s="152"/>
      <c r="D350" s="152"/>
      <c r="E350" s="152"/>
      <c r="F350" s="152"/>
      <c r="G350" s="152"/>
      <c r="H350" s="152"/>
      <c r="I350" s="152"/>
      <c r="J350" s="152"/>
      <c r="K350" s="152"/>
      <c r="L350" s="152"/>
      <c r="M350" s="152"/>
      <c r="N350" s="152"/>
      <c r="O350" s="7"/>
      <c r="P350" s="197"/>
      <c r="Q350" s="103"/>
      <c r="S350" s="7"/>
      <c r="T350" s="7"/>
      <c r="U350" s="7"/>
      <c r="V350" s="7"/>
    </row>
    <row r="351" spans="2:22" ht="12.5">
      <c r="B351" s="152"/>
      <c r="C351" s="152"/>
      <c r="D351" s="152"/>
      <c r="E351" s="152"/>
      <c r="F351" s="152"/>
      <c r="G351" s="152"/>
      <c r="H351" s="152"/>
      <c r="I351" s="152"/>
      <c r="J351" s="152"/>
      <c r="K351" s="152"/>
      <c r="L351" s="152"/>
      <c r="M351" s="152"/>
      <c r="N351" s="152"/>
      <c r="O351" s="7"/>
      <c r="P351" s="197"/>
      <c r="Q351" s="103"/>
      <c r="S351" s="7"/>
      <c r="T351" s="7"/>
      <c r="U351" s="7"/>
      <c r="V351" s="7"/>
    </row>
    <row r="352" spans="2:22" ht="12.5">
      <c r="B352" s="152"/>
      <c r="C352" s="152"/>
      <c r="D352" s="152"/>
      <c r="E352" s="152"/>
      <c r="F352" s="152"/>
      <c r="G352" s="152"/>
      <c r="H352" s="152"/>
      <c r="I352" s="152"/>
      <c r="J352" s="152"/>
      <c r="K352" s="152"/>
      <c r="L352" s="152"/>
      <c r="M352" s="152"/>
      <c r="N352" s="152"/>
      <c r="O352" s="7"/>
      <c r="P352" s="197"/>
      <c r="Q352" s="103"/>
      <c r="S352" s="7"/>
      <c r="T352" s="7"/>
      <c r="U352" s="7"/>
      <c r="V352" s="7"/>
    </row>
    <row r="353" spans="2:22" ht="12.5">
      <c r="B353" s="152"/>
      <c r="C353" s="152"/>
      <c r="D353" s="152"/>
      <c r="E353" s="152"/>
      <c r="F353" s="152"/>
      <c r="G353" s="152"/>
      <c r="H353" s="152"/>
      <c r="I353" s="152"/>
      <c r="J353" s="152"/>
      <c r="K353" s="152"/>
      <c r="L353" s="152"/>
      <c r="M353" s="152"/>
      <c r="N353" s="152"/>
      <c r="O353" s="7"/>
      <c r="P353" s="197"/>
      <c r="Q353" s="103"/>
      <c r="S353" s="7"/>
      <c r="T353" s="7"/>
      <c r="U353" s="7"/>
      <c r="V353" s="7"/>
    </row>
    <row r="354" spans="2:22" ht="12.5">
      <c r="B354" s="152"/>
      <c r="C354" s="152"/>
      <c r="D354" s="152"/>
      <c r="E354" s="152"/>
      <c r="F354" s="152"/>
      <c r="G354" s="152"/>
      <c r="H354" s="152"/>
      <c r="I354" s="152"/>
      <c r="J354" s="152"/>
      <c r="K354" s="152"/>
      <c r="L354" s="152"/>
      <c r="M354" s="152"/>
      <c r="N354" s="152"/>
      <c r="O354" s="7"/>
      <c r="P354" s="197"/>
      <c r="Q354" s="103"/>
      <c r="S354" s="7"/>
      <c r="T354" s="7"/>
      <c r="U354" s="7"/>
      <c r="V354" s="7"/>
    </row>
    <row r="355" spans="2:22" ht="12.5">
      <c r="B355" s="152"/>
      <c r="C355" s="152"/>
      <c r="D355" s="152"/>
      <c r="E355" s="152"/>
      <c r="F355" s="152"/>
      <c r="G355" s="152"/>
      <c r="H355" s="152"/>
      <c r="I355" s="152"/>
      <c r="J355" s="152"/>
      <c r="K355" s="152"/>
      <c r="L355" s="152"/>
      <c r="M355" s="152"/>
      <c r="N355" s="152"/>
      <c r="O355" s="7"/>
      <c r="P355" s="197"/>
      <c r="Q355" s="103"/>
      <c r="S355" s="7"/>
      <c r="T355" s="7"/>
      <c r="U355" s="7"/>
      <c r="V355" s="7"/>
    </row>
    <row r="356" spans="2:22" ht="12.5">
      <c r="B356" s="152"/>
      <c r="C356" s="152"/>
      <c r="D356" s="152"/>
      <c r="E356" s="152"/>
      <c r="F356" s="152"/>
      <c r="G356" s="152"/>
      <c r="H356" s="152"/>
      <c r="I356" s="152"/>
      <c r="J356" s="152"/>
      <c r="K356" s="152"/>
      <c r="L356" s="152"/>
      <c r="M356" s="152"/>
      <c r="N356" s="152"/>
      <c r="O356" s="7"/>
      <c r="P356" s="197"/>
      <c r="Q356" s="103"/>
      <c r="S356" s="7"/>
      <c r="T356" s="7"/>
      <c r="U356" s="7"/>
      <c r="V356" s="7"/>
    </row>
    <row r="357" spans="2:22" ht="12.5">
      <c r="B357" s="152"/>
      <c r="C357" s="152"/>
      <c r="D357" s="152"/>
      <c r="E357" s="152"/>
      <c r="F357" s="152"/>
      <c r="G357" s="152"/>
      <c r="H357" s="152"/>
      <c r="I357" s="152"/>
      <c r="J357" s="152"/>
      <c r="K357" s="152"/>
      <c r="L357" s="152"/>
      <c r="M357" s="152"/>
      <c r="N357" s="152"/>
      <c r="O357" s="7"/>
      <c r="P357" s="197"/>
      <c r="Q357" s="103"/>
      <c r="S357" s="7"/>
      <c r="T357" s="7"/>
      <c r="U357" s="7"/>
      <c r="V357" s="7"/>
    </row>
    <row r="358" spans="2:22" ht="12.5">
      <c r="B358" s="152"/>
      <c r="C358" s="152"/>
      <c r="D358" s="152"/>
      <c r="E358" s="152"/>
      <c r="F358" s="152"/>
      <c r="G358" s="152"/>
      <c r="H358" s="152"/>
      <c r="I358" s="152"/>
      <c r="J358" s="152"/>
      <c r="K358" s="152"/>
      <c r="L358" s="152"/>
      <c r="M358" s="152"/>
      <c r="N358" s="152"/>
      <c r="O358" s="7"/>
      <c r="P358" s="197"/>
      <c r="Q358" s="103"/>
      <c r="S358" s="7"/>
      <c r="T358" s="7"/>
      <c r="U358" s="7"/>
      <c r="V358" s="7"/>
    </row>
    <row r="359" spans="2:22" ht="12.5">
      <c r="B359" s="152"/>
      <c r="C359" s="152"/>
      <c r="D359" s="152"/>
      <c r="E359" s="152"/>
      <c r="F359" s="152"/>
      <c r="G359" s="152"/>
      <c r="H359" s="152"/>
      <c r="I359" s="152"/>
      <c r="J359" s="152"/>
      <c r="K359" s="152"/>
      <c r="L359" s="152"/>
      <c r="M359" s="152"/>
      <c r="N359" s="152"/>
      <c r="O359" s="7"/>
      <c r="P359" s="197"/>
      <c r="Q359" s="103"/>
      <c r="S359" s="7"/>
      <c r="T359" s="7"/>
      <c r="U359" s="7"/>
      <c r="V359" s="7"/>
    </row>
    <row r="360" spans="2:22" ht="12.5">
      <c r="B360" s="152"/>
      <c r="C360" s="152"/>
      <c r="D360" s="152"/>
      <c r="E360" s="152"/>
      <c r="F360" s="152"/>
      <c r="G360" s="152"/>
      <c r="H360" s="152"/>
      <c r="I360" s="152"/>
      <c r="J360" s="152"/>
      <c r="K360" s="152"/>
      <c r="L360" s="152"/>
      <c r="M360" s="152"/>
      <c r="N360" s="152"/>
      <c r="O360" s="7"/>
      <c r="P360" s="197"/>
      <c r="Q360" s="103"/>
      <c r="S360" s="7"/>
      <c r="T360" s="7"/>
      <c r="U360" s="7"/>
      <c r="V360" s="7"/>
    </row>
    <row r="361" spans="2:22" ht="12.5">
      <c r="B361" s="152"/>
      <c r="C361" s="152"/>
      <c r="D361" s="152"/>
      <c r="E361" s="152"/>
      <c r="F361" s="152"/>
      <c r="G361" s="152"/>
      <c r="H361" s="152"/>
      <c r="I361" s="152"/>
      <c r="J361" s="152"/>
      <c r="K361" s="152"/>
      <c r="L361" s="152"/>
      <c r="M361" s="152"/>
      <c r="N361" s="152"/>
      <c r="O361" s="7"/>
      <c r="P361" s="197"/>
      <c r="Q361" s="103"/>
      <c r="S361" s="7"/>
      <c r="T361" s="7"/>
      <c r="U361" s="7"/>
      <c r="V361" s="7"/>
    </row>
    <row r="362" spans="2:22" ht="12.5">
      <c r="B362" s="152"/>
      <c r="C362" s="152"/>
      <c r="D362" s="152"/>
      <c r="E362" s="152"/>
      <c r="F362" s="152"/>
      <c r="G362" s="152"/>
      <c r="H362" s="152"/>
      <c r="I362" s="152"/>
      <c r="J362" s="152"/>
      <c r="K362" s="152"/>
      <c r="L362" s="152"/>
      <c r="M362" s="152"/>
      <c r="N362" s="152"/>
      <c r="O362" s="7"/>
      <c r="P362" s="197"/>
      <c r="Q362" s="103"/>
      <c r="S362" s="7"/>
      <c r="T362" s="7"/>
      <c r="U362" s="7"/>
      <c r="V362" s="7"/>
    </row>
    <row r="363" spans="2:22" ht="12.5">
      <c r="B363" s="152"/>
      <c r="C363" s="152"/>
      <c r="D363" s="152"/>
      <c r="E363" s="152"/>
      <c r="F363" s="152"/>
      <c r="G363" s="152"/>
      <c r="H363" s="152"/>
      <c r="I363" s="152"/>
      <c r="J363" s="152"/>
      <c r="K363" s="152"/>
      <c r="L363" s="152"/>
      <c r="M363" s="152"/>
      <c r="N363" s="152"/>
      <c r="O363" s="7"/>
      <c r="P363" s="197"/>
      <c r="Q363" s="103"/>
      <c r="S363" s="7"/>
      <c r="T363" s="7"/>
      <c r="U363" s="7"/>
      <c r="V363" s="7"/>
    </row>
    <row r="364" spans="2:22" ht="12.5">
      <c r="B364" s="152"/>
      <c r="C364" s="152"/>
      <c r="D364" s="152"/>
      <c r="E364" s="152"/>
      <c r="F364" s="152"/>
      <c r="G364" s="152"/>
      <c r="H364" s="152"/>
      <c r="I364" s="152"/>
      <c r="J364" s="152"/>
      <c r="K364" s="152"/>
      <c r="L364" s="152"/>
      <c r="M364" s="152"/>
      <c r="N364" s="152"/>
      <c r="O364" s="7"/>
      <c r="P364" s="197"/>
      <c r="Q364" s="103"/>
      <c r="S364" s="7"/>
      <c r="T364" s="7"/>
      <c r="U364" s="7"/>
      <c r="V364" s="7"/>
    </row>
    <row r="365" spans="2:22" ht="12.5">
      <c r="B365" s="152"/>
      <c r="C365" s="152"/>
      <c r="D365" s="152"/>
      <c r="E365" s="152"/>
      <c r="F365" s="152"/>
      <c r="G365" s="152"/>
      <c r="H365" s="152"/>
      <c r="I365" s="152"/>
      <c r="J365" s="152"/>
      <c r="K365" s="152"/>
      <c r="L365" s="152"/>
      <c r="M365" s="152"/>
      <c r="N365" s="152"/>
      <c r="O365" s="7"/>
      <c r="P365" s="197"/>
      <c r="Q365" s="103"/>
      <c r="S365" s="7"/>
      <c r="T365" s="7"/>
      <c r="U365" s="7"/>
      <c r="V365" s="7"/>
    </row>
    <row r="366" spans="2:22" ht="12.5">
      <c r="B366" s="152"/>
      <c r="C366" s="152"/>
      <c r="D366" s="152"/>
      <c r="E366" s="152"/>
      <c r="F366" s="152"/>
      <c r="G366" s="152"/>
      <c r="H366" s="152"/>
      <c r="I366" s="152"/>
      <c r="J366" s="152"/>
      <c r="K366" s="152"/>
      <c r="L366" s="152"/>
      <c r="M366" s="152"/>
      <c r="N366" s="152"/>
      <c r="O366" s="7"/>
      <c r="P366" s="197"/>
      <c r="Q366" s="103"/>
      <c r="S366" s="7"/>
      <c r="T366" s="7"/>
      <c r="U366" s="7"/>
      <c r="V366" s="7"/>
    </row>
    <row r="367" spans="2:22" ht="12.5">
      <c r="B367" s="152"/>
      <c r="C367" s="152"/>
      <c r="D367" s="152"/>
      <c r="E367" s="152"/>
      <c r="F367" s="152"/>
      <c r="G367" s="152"/>
      <c r="H367" s="152"/>
      <c r="I367" s="152"/>
      <c r="J367" s="152"/>
      <c r="K367" s="152"/>
      <c r="L367" s="152"/>
      <c r="M367" s="152"/>
      <c r="N367" s="152"/>
      <c r="O367" s="7"/>
      <c r="P367" s="197"/>
      <c r="Q367" s="103"/>
      <c r="S367" s="7"/>
      <c r="T367" s="7"/>
      <c r="U367" s="7"/>
      <c r="V367" s="7"/>
    </row>
    <row r="368" spans="2:22" ht="12.5">
      <c r="B368" s="152"/>
      <c r="C368" s="152"/>
      <c r="D368" s="152"/>
      <c r="E368" s="152"/>
      <c r="F368" s="152"/>
      <c r="G368" s="152"/>
      <c r="H368" s="152"/>
      <c r="I368" s="152"/>
      <c r="J368" s="152"/>
      <c r="K368" s="152"/>
      <c r="L368" s="152"/>
      <c r="M368" s="152"/>
      <c r="N368" s="152"/>
      <c r="O368" s="7"/>
      <c r="P368" s="197"/>
      <c r="Q368" s="103"/>
      <c r="S368" s="7"/>
      <c r="T368" s="7"/>
      <c r="U368" s="7"/>
      <c r="V368" s="7"/>
    </row>
    <row r="369" spans="2:22" ht="12.5">
      <c r="B369" s="152"/>
      <c r="C369" s="152"/>
      <c r="D369" s="152"/>
      <c r="E369" s="152"/>
      <c r="F369" s="152"/>
      <c r="G369" s="152"/>
      <c r="H369" s="152"/>
      <c r="I369" s="152"/>
      <c r="J369" s="152"/>
      <c r="K369" s="152"/>
      <c r="L369" s="152"/>
      <c r="M369" s="152"/>
      <c r="N369" s="152"/>
      <c r="O369" s="7"/>
      <c r="P369" s="197"/>
      <c r="Q369" s="103"/>
      <c r="S369" s="7"/>
      <c r="T369" s="7"/>
      <c r="U369" s="7"/>
      <c r="V369" s="7"/>
    </row>
    <row r="370" spans="2:22" ht="12.5">
      <c r="B370" s="152"/>
      <c r="C370" s="152"/>
      <c r="D370" s="152"/>
      <c r="E370" s="152"/>
      <c r="F370" s="152"/>
      <c r="G370" s="152"/>
      <c r="H370" s="152"/>
      <c r="I370" s="152"/>
      <c r="J370" s="152"/>
      <c r="K370" s="152"/>
      <c r="L370" s="152"/>
      <c r="M370" s="152"/>
      <c r="N370" s="152"/>
      <c r="O370" s="7"/>
      <c r="P370" s="197"/>
      <c r="Q370" s="103"/>
      <c r="S370" s="7"/>
      <c r="T370" s="7"/>
      <c r="U370" s="7"/>
      <c r="V370" s="7"/>
    </row>
    <row r="371" spans="2:22" ht="12.5">
      <c r="B371" s="152"/>
      <c r="C371" s="152"/>
      <c r="D371" s="152"/>
      <c r="E371" s="152"/>
      <c r="F371" s="152"/>
      <c r="G371" s="152"/>
      <c r="H371" s="152"/>
      <c r="I371" s="152"/>
      <c r="J371" s="152"/>
      <c r="K371" s="152"/>
      <c r="L371" s="152"/>
      <c r="M371" s="152"/>
      <c r="N371" s="152"/>
      <c r="O371" s="7"/>
      <c r="P371" s="197"/>
      <c r="Q371" s="103"/>
      <c r="S371" s="7"/>
      <c r="T371" s="7"/>
      <c r="U371" s="7"/>
      <c r="V371" s="7"/>
    </row>
    <row r="372" spans="2:22" ht="12.5">
      <c r="B372" s="152"/>
      <c r="C372" s="152"/>
      <c r="D372" s="152"/>
      <c r="E372" s="152"/>
      <c r="F372" s="152"/>
      <c r="G372" s="152"/>
      <c r="H372" s="152"/>
      <c r="I372" s="152"/>
      <c r="J372" s="152"/>
      <c r="K372" s="152"/>
      <c r="L372" s="152"/>
      <c r="M372" s="152"/>
      <c r="N372" s="152"/>
      <c r="O372" s="7"/>
      <c r="P372" s="197"/>
      <c r="Q372" s="103"/>
      <c r="S372" s="7"/>
      <c r="T372" s="7"/>
      <c r="U372" s="7"/>
      <c r="V372" s="7"/>
    </row>
    <row r="373" spans="2:22" ht="12.5">
      <c r="B373" s="152"/>
      <c r="C373" s="152"/>
      <c r="D373" s="152"/>
      <c r="E373" s="152"/>
      <c r="F373" s="152"/>
      <c r="G373" s="152"/>
      <c r="H373" s="152"/>
      <c r="I373" s="152"/>
      <c r="J373" s="152"/>
      <c r="K373" s="152"/>
      <c r="L373" s="152"/>
      <c r="M373" s="152"/>
      <c r="N373" s="152"/>
      <c r="O373" s="7"/>
      <c r="P373" s="197"/>
      <c r="Q373" s="103"/>
      <c r="S373" s="7"/>
      <c r="T373" s="7"/>
      <c r="U373" s="7"/>
      <c r="V373" s="7"/>
    </row>
    <row r="374" spans="2:22" ht="12.5">
      <c r="B374" s="152"/>
      <c r="C374" s="152"/>
      <c r="D374" s="152"/>
      <c r="E374" s="152"/>
      <c r="F374" s="152"/>
      <c r="G374" s="152"/>
      <c r="H374" s="152"/>
      <c r="I374" s="152"/>
      <c r="J374" s="152"/>
      <c r="K374" s="152"/>
      <c r="L374" s="152"/>
      <c r="M374" s="152"/>
      <c r="N374" s="152"/>
      <c r="O374" s="7"/>
      <c r="P374" s="197"/>
      <c r="Q374" s="103"/>
      <c r="S374" s="7"/>
      <c r="T374" s="7"/>
      <c r="U374" s="7"/>
      <c r="V374" s="7"/>
    </row>
    <row r="375" spans="2:22" ht="12.5">
      <c r="B375" s="152"/>
      <c r="C375" s="152"/>
      <c r="D375" s="152"/>
      <c r="E375" s="152"/>
      <c r="F375" s="152"/>
      <c r="G375" s="152"/>
      <c r="H375" s="152"/>
      <c r="I375" s="152"/>
      <c r="J375" s="152"/>
      <c r="K375" s="152"/>
      <c r="L375" s="152"/>
      <c r="M375" s="152"/>
      <c r="N375" s="152"/>
      <c r="O375" s="7"/>
      <c r="P375" s="197"/>
      <c r="Q375" s="103"/>
      <c r="S375" s="7"/>
      <c r="T375" s="7"/>
      <c r="U375" s="7"/>
      <c r="V375" s="7"/>
    </row>
    <row r="376" spans="2:22" ht="12.5">
      <c r="B376" s="152"/>
      <c r="C376" s="152"/>
      <c r="D376" s="152"/>
      <c r="E376" s="152"/>
      <c r="F376" s="152"/>
      <c r="G376" s="152"/>
      <c r="H376" s="152"/>
      <c r="I376" s="152"/>
      <c r="J376" s="152"/>
      <c r="K376" s="152"/>
      <c r="L376" s="152"/>
      <c r="M376" s="152"/>
      <c r="N376" s="152"/>
      <c r="O376" s="7"/>
      <c r="P376" s="197"/>
      <c r="Q376" s="103"/>
      <c r="S376" s="7"/>
      <c r="T376" s="7"/>
      <c r="U376" s="7"/>
      <c r="V376" s="7"/>
    </row>
    <row r="377" spans="2:22" ht="12.5">
      <c r="B377" s="152"/>
      <c r="C377" s="152"/>
      <c r="D377" s="152"/>
      <c r="E377" s="152"/>
      <c r="F377" s="152"/>
      <c r="G377" s="152"/>
      <c r="H377" s="152"/>
      <c r="I377" s="152"/>
      <c r="J377" s="152"/>
      <c r="K377" s="152"/>
      <c r="L377" s="152"/>
      <c r="M377" s="152"/>
      <c r="N377" s="152"/>
      <c r="O377" s="7"/>
      <c r="P377" s="197"/>
      <c r="Q377" s="103"/>
      <c r="S377" s="7"/>
      <c r="T377" s="7"/>
      <c r="U377" s="7"/>
      <c r="V377" s="7"/>
    </row>
    <row r="378" spans="2:22" ht="12.5">
      <c r="B378" s="152"/>
      <c r="C378" s="152"/>
      <c r="D378" s="152"/>
      <c r="E378" s="152"/>
      <c r="F378" s="152"/>
      <c r="G378" s="152"/>
      <c r="H378" s="152"/>
      <c r="I378" s="152"/>
      <c r="J378" s="152"/>
      <c r="K378" s="152"/>
      <c r="L378" s="152"/>
      <c r="M378" s="152"/>
      <c r="N378" s="152"/>
      <c r="O378" s="7"/>
      <c r="P378" s="197"/>
      <c r="Q378" s="103"/>
      <c r="S378" s="7"/>
      <c r="T378" s="7"/>
      <c r="U378" s="7"/>
      <c r="V378" s="7"/>
    </row>
    <row r="379" spans="2:22" ht="12.5">
      <c r="B379" s="152"/>
      <c r="C379" s="152"/>
      <c r="D379" s="152"/>
      <c r="E379" s="152"/>
      <c r="F379" s="152"/>
      <c r="G379" s="152"/>
      <c r="H379" s="152"/>
      <c r="I379" s="152"/>
      <c r="J379" s="152"/>
      <c r="K379" s="152"/>
      <c r="L379" s="152"/>
      <c r="M379" s="152"/>
      <c r="N379" s="152"/>
      <c r="O379" s="7"/>
      <c r="P379" s="197"/>
      <c r="Q379" s="103"/>
      <c r="S379" s="7"/>
      <c r="T379" s="7"/>
      <c r="U379" s="7"/>
      <c r="V379" s="7"/>
    </row>
    <row r="380" spans="2:22" ht="12.5">
      <c r="B380" s="152"/>
      <c r="C380" s="152"/>
      <c r="D380" s="152"/>
      <c r="E380" s="152"/>
      <c r="F380" s="152"/>
      <c r="G380" s="152"/>
      <c r="H380" s="152"/>
      <c r="I380" s="152"/>
      <c r="J380" s="152"/>
      <c r="K380" s="152"/>
      <c r="L380" s="152"/>
      <c r="M380" s="152"/>
      <c r="N380" s="152"/>
      <c r="O380" s="7"/>
      <c r="P380" s="197"/>
      <c r="Q380" s="103"/>
      <c r="S380" s="7"/>
      <c r="T380" s="7"/>
      <c r="U380" s="7"/>
      <c r="V380" s="7"/>
    </row>
    <row r="381" spans="2:22" ht="12.5">
      <c r="B381" s="152"/>
      <c r="C381" s="152"/>
      <c r="D381" s="152"/>
      <c r="E381" s="152"/>
      <c r="F381" s="152"/>
      <c r="G381" s="152"/>
      <c r="H381" s="152"/>
      <c r="I381" s="152"/>
      <c r="J381" s="152"/>
      <c r="K381" s="152"/>
      <c r="L381" s="152"/>
      <c r="M381" s="152"/>
      <c r="N381" s="152"/>
      <c r="O381" s="7"/>
      <c r="P381" s="197"/>
      <c r="Q381" s="103"/>
      <c r="S381" s="7"/>
      <c r="T381" s="7"/>
      <c r="U381" s="7"/>
      <c r="V381" s="7"/>
    </row>
    <row r="382" spans="2:22" ht="12.5">
      <c r="B382" s="152"/>
      <c r="C382" s="152"/>
      <c r="D382" s="152"/>
      <c r="E382" s="152"/>
      <c r="F382" s="152"/>
      <c r="G382" s="152"/>
      <c r="H382" s="152"/>
      <c r="I382" s="152"/>
      <c r="J382" s="152"/>
      <c r="K382" s="152"/>
      <c r="L382" s="152"/>
      <c r="M382" s="152"/>
      <c r="N382" s="152"/>
      <c r="O382" s="7"/>
      <c r="P382" s="197"/>
      <c r="Q382" s="103"/>
      <c r="S382" s="7"/>
      <c r="T382" s="7"/>
      <c r="U382" s="7"/>
      <c r="V382" s="7"/>
    </row>
    <row r="383" spans="2:22" ht="12.5">
      <c r="B383" s="152"/>
      <c r="C383" s="152"/>
      <c r="D383" s="152"/>
      <c r="E383" s="152"/>
      <c r="F383" s="152"/>
      <c r="G383" s="152"/>
      <c r="H383" s="152"/>
      <c r="I383" s="152"/>
      <c r="J383" s="152"/>
      <c r="K383" s="152"/>
      <c r="L383" s="152"/>
      <c r="M383" s="152"/>
      <c r="N383" s="152"/>
      <c r="O383" s="7"/>
      <c r="P383" s="197"/>
      <c r="Q383" s="103"/>
      <c r="S383" s="7"/>
      <c r="T383" s="7"/>
      <c r="U383" s="7"/>
      <c r="V383" s="7"/>
    </row>
    <row r="384" spans="2:22" ht="12.5">
      <c r="B384" s="152"/>
      <c r="C384" s="152"/>
      <c r="D384" s="152"/>
      <c r="E384" s="152"/>
      <c r="F384" s="152"/>
      <c r="G384" s="152"/>
      <c r="H384" s="152"/>
      <c r="I384" s="152"/>
      <c r="J384" s="152"/>
      <c r="K384" s="152"/>
      <c r="L384" s="152"/>
      <c r="M384" s="152"/>
      <c r="N384" s="152"/>
      <c r="O384" s="7"/>
      <c r="P384" s="197"/>
      <c r="Q384" s="103"/>
      <c r="S384" s="7"/>
      <c r="T384" s="7"/>
      <c r="U384" s="7"/>
      <c r="V384" s="7"/>
    </row>
    <row r="385" spans="2:22" ht="12.5">
      <c r="B385" s="152"/>
      <c r="C385" s="152"/>
      <c r="D385" s="152"/>
      <c r="E385" s="152"/>
      <c r="F385" s="152"/>
      <c r="G385" s="152"/>
      <c r="H385" s="152"/>
      <c r="I385" s="152"/>
      <c r="J385" s="152"/>
      <c r="K385" s="152"/>
      <c r="L385" s="152"/>
      <c r="M385" s="152"/>
      <c r="N385" s="152"/>
      <c r="O385" s="7"/>
      <c r="P385" s="197"/>
      <c r="Q385" s="103"/>
      <c r="S385" s="7"/>
      <c r="T385" s="7"/>
      <c r="U385" s="7"/>
      <c r="V385" s="7"/>
    </row>
    <row r="386" spans="2:22" ht="12.5">
      <c r="B386" s="152"/>
      <c r="C386" s="152"/>
      <c r="D386" s="152"/>
      <c r="E386" s="152"/>
      <c r="F386" s="152"/>
      <c r="G386" s="152"/>
      <c r="H386" s="152"/>
      <c r="I386" s="152"/>
      <c r="J386" s="152"/>
      <c r="K386" s="152"/>
      <c r="L386" s="152"/>
      <c r="M386" s="152"/>
      <c r="N386" s="152"/>
      <c r="O386" s="7"/>
      <c r="P386" s="197"/>
      <c r="Q386" s="103"/>
      <c r="S386" s="7"/>
      <c r="T386" s="7"/>
      <c r="U386" s="7"/>
      <c r="V386" s="7"/>
    </row>
    <row r="387" spans="2:22" ht="12.5">
      <c r="B387" s="152"/>
      <c r="C387" s="152"/>
      <c r="D387" s="152"/>
      <c r="E387" s="152"/>
      <c r="F387" s="152"/>
      <c r="G387" s="152"/>
      <c r="H387" s="152"/>
      <c r="I387" s="152"/>
      <c r="J387" s="152"/>
      <c r="K387" s="152"/>
      <c r="L387" s="152"/>
      <c r="M387" s="152"/>
      <c r="N387" s="152"/>
      <c r="O387" s="7"/>
      <c r="P387" s="197"/>
      <c r="Q387" s="103"/>
      <c r="S387" s="7"/>
      <c r="T387" s="7"/>
      <c r="U387" s="7"/>
      <c r="V387" s="7"/>
    </row>
    <row r="388" spans="2:22" ht="12.5">
      <c r="B388" s="152"/>
      <c r="C388" s="152"/>
      <c r="D388" s="152"/>
      <c r="E388" s="152"/>
      <c r="F388" s="152"/>
      <c r="G388" s="152"/>
      <c r="H388" s="152"/>
      <c r="I388" s="152"/>
      <c r="J388" s="152"/>
      <c r="K388" s="152"/>
      <c r="L388" s="152"/>
      <c r="M388" s="152"/>
      <c r="N388" s="152"/>
      <c r="O388" s="7"/>
      <c r="P388" s="197"/>
      <c r="Q388" s="103"/>
      <c r="S388" s="7"/>
      <c r="T388" s="7"/>
      <c r="U388" s="7"/>
      <c r="V388" s="7"/>
    </row>
    <row r="389" spans="2:22" ht="12.5">
      <c r="B389" s="152"/>
      <c r="C389" s="152"/>
      <c r="D389" s="152"/>
      <c r="E389" s="152"/>
      <c r="F389" s="152"/>
      <c r="G389" s="152"/>
      <c r="H389" s="152"/>
      <c r="I389" s="152"/>
      <c r="J389" s="152"/>
      <c r="K389" s="152"/>
      <c r="L389" s="152"/>
      <c r="M389" s="152"/>
      <c r="N389" s="152"/>
      <c r="O389" s="7"/>
      <c r="P389" s="197"/>
      <c r="Q389" s="103"/>
      <c r="S389" s="7"/>
      <c r="T389" s="7"/>
      <c r="U389" s="7"/>
      <c r="V389" s="7"/>
    </row>
    <row r="390" spans="2:22" ht="12.5">
      <c r="B390" s="152"/>
      <c r="C390" s="152"/>
      <c r="D390" s="152"/>
      <c r="E390" s="152"/>
      <c r="F390" s="152"/>
      <c r="G390" s="152"/>
      <c r="H390" s="152"/>
      <c r="I390" s="152"/>
      <c r="J390" s="152"/>
      <c r="K390" s="152"/>
      <c r="L390" s="152"/>
      <c r="M390" s="152"/>
      <c r="N390" s="152"/>
      <c r="O390" s="7"/>
      <c r="P390" s="197"/>
      <c r="Q390" s="103"/>
      <c r="S390" s="7"/>
      <c r="T390" s="7"/>
      <c r="U390" s="7"/>
      <c r="V390" s="7"/>
    </row>
    <row r="391" spans="2:22" ht="12.5">
      <c r="B391" s="152"/>
      <c r="C391" s="152"/>
      <c r="D391" s="152"/>
      <c r="E391" s="152"/>
      <c r="F391" s="152"/>
      <c r="G391" s="152"/>
      <c r="H391" s="152"/>
      <c r="I391" s="152"/>
      <c r="J391" s="152"/>
      <c r="K391" s="152"/>
      <c r="L391" s="152"/>
      <c r="M391" s="152"/>
      <c r="N391" s="152"/>
      <c r="O391" s="7"/>
      <c r="P391" s="197"/>
      <c r="Q391" s="103"/>
      <c r="S391" s="7"/>
      <c r="T391" s="7"/>
      <c r="U391" s="7"/>
      <c r="V391" s="7"/>
    </row>
    <row r="392" spans="2:22" ht="12.5">
      <c r="B392" s="152"/>
      <c r="C392" s="152"/>
      <c r="D392" s="152"/>
      <c r="E392" s="152"/>
      <c r="F392" s="152"/>
      <c r="G392" s="152"/>
      <c r="H392" s="152"/>
      <c r="I392" s="152"/>
      <c r="J392" s="152"/>
      <c r="K392" s="152"/>
      <c r="L392" s="152"/>
      <c r="M392" s="152"/>
      <c r="N392" s="152"/>
      <c r="O392" s="7"/>
      <c r="P392" s="197"/>
      <c r="Q392" s="103"/>
      <c r="S392" s="7"/>
      <c r="T392" s="7"/>
      <c r="U392" s="7"/>
      <c r="V392" s="7"/>
    </row>
    <row r="393" spans="2:22" ht="12.5">
      <c r="B393" s="152"/>
      <c r="C393" s="152"/>
      <c r="D393" s="152"/>
      <c r="E393" s="152"/>
      <c r="F393" s="152"/>
      <c r="G393" s="152"/>
      <c r="H393" s="152"/>
      <c r="I393" s="152"/>
      <c r="J393" s="152"/>
      <c r="K393" s="152"/>
      <c r="L393" s="152"/>
      <c r="M393" s="152"/>
      <c r="N393" s="152"/>
      <c r="O393" s="7"/>
      <c r="P393" s="197"/>
      <c r="Q393" s="103"/>
      <c r="S393" s="7"/>
      <c r="T393" s="7"/>
      <c r="U393" s="7"/>
      <c r="V393" s="7"/>
    </row>
    <row r="394" spans="2:22" ht="12.5">
      <c r="B394" s="152"/>
      <c r="C394" s="152"/>
      <c r="D394" s="152"/>
      <c r="E394" s="152"/>
      <c r="F394" s="152"/>
      <c r="G394" s="152"/>
      <c r="H394" s="152"/>
      <c r="I394" s="152"/>
      <c r="J394" s="152"/>
      <c r="K394" s="152"/>
      <c r="L394" s="152"/>
      <c r="M394" s="152"/>
      <c r="N394" s="152"/>
      <c r="O394" s="7"/>
      <c r="P394" s="197"/>
      <c r="Q394" s="103"/>
      <c r="S394" s="7"/>
      <c r="T394" s="7"/>
      <c r="U394" s="7"/>
      <c r="V394" s="7"/>
    </row>
    <row r="395" spans="2:22" ht="12.5">
      <c r="B395" s="152"/>
      <c r="C395" s="152"/>
      <c r="D395" s="152"/>
      <c r="E395" s="152"/>
      <c r="F395" s="152"/>
      <c r="G395" s="152"/>
      <c r="H395" s="152"/>
      <c r="I395" s="152"/>
      <c r="J395" s="152"/>
      <c r="K395" s="152"/>
      <c r="L395" s="152"/>
      <c r="M395" s="152"/>
      <c r="N395" s="152"/>
      <c r="O395" s="7"/>
      <c r="P395" s="197"/>
      <c r="Q395" s="103"/>
      <c r="S395" s="7"/>
      <c r="T395" s="7"/>
      <c r="U395" s="7"/>
      <c r="V395" s="7"/>
    </row>
    <row r="396" spans="2:22" ht="12.5">
      <c r="B396" s="152"/>
      <c r="C396" s="152"/>
      <c r="D396" s="152"/>
      <c r="E396" s="152"/>
      <c r="F396" s="152"/>
      <c r="G396" s="152"/>
      <c r="H396" s="152"/>
      <c r="I396" s="152"/>
      <c r="J396" s="152"/>
      <c r="K396" s="152"/>
      <c r="L396" s="152"/>
      <c r="M396" s="152"/>
      <c r="N396" s="152"/>
      <c r="O396" s="7"/>
      <c r="P396" s="197"/>
      <c r="Q396" s="103"/>
      <c r="S396" s="7"/>
      <c r="T396" s="7"/>
      <c r="U396" s="7"/>
      <c r="V396" s="7"/>
    </row>
    <row r="397" spans="2:22" ht="12.5">
      <c r="B397" s="152"/>
      <c r="C397" s="152"/>
      <c r="D397" s="152"/>
      <c r="E397" s="152"/>
      <c r="F397" s="152"/>
      <c r="G397" s="152"/>
      <c r="H397" s="152"/>
      <c r="I397" s="152"/>
      <c r="J397" s="152"/>
      <c r="K397" s="152"/>
      <c r="L397" s="152"/>
      <c r="M397" s="152"/>
      <c r="N397" s="152"/>
      <c r="O397" s="7"/>
      <c r="P397" s="197"/>
      <c r="Q397" s="103"/>
      <c r="S397" s="7"/>
      <c r="T397" s="7"/>
      <c r="U397" s="7"/>
      <c r="V397" s="7"/>
    </row>
    <row r="398" spans="2:22" ht="12.5">
      <c r="B398" s="152"/>
      <c r="C398" s="152"/>
      <c r="D398" s="152"/>
      <c r="E398" s="152"/>
      <c r="F398" s="152"/>
      <c r="G398" s="152"/>
      <c r="H398" s="152"/>
      <c r="I398" s="152"/>
      <c r="J398" s="152"/>
      <c r="K398" s="152"/>
      <c r="L398" s="152"/>
      <c r="M398" s="152"/>
      <c r="N398" s="152"/>
      <c r="O398" s="7"/>
      <c r="P398" s="197"/>
      <c r="Q398" s="103"/>
      <c r="S398" s="7"/>
      <c r="T398" s="7"/>
      <c r="U398" s="7"/>
      <c r="V398" s="7"/>
    </row>
    <row r="399" spans="2:22" ht="12.5">
      <c r="B399" s="152"/>
      <c r="C399" s="152"/>
      <c r="D399" s="152"/>
      <c r="E399" s="152"/>
      <c r="F399" s="152"/>
      <c r="G399" s="152"/>
      <c r="H399" s="152"/>
      <c r="I399" s="152"/>
      <c r="J399" s="152"/>
      <c r="K399" s="152"/>
      <c r="L399" s="152"/>
      <c r="M399" s="152"/>
      <c r="N399" s="152"/>
      <c r="O399" s="7"/>
      <c r="P399" s="197"/>
      <c r="Q399" s="103"/>
      <c r="S399" s="7"/>
      <c r="T399" s="7"/>
      <c r="U399" s="7"/>
      <c r="V399" s="7"/>
    </row>
    <row r="400" spans="2:22" ht="12.5">
      <c r="B400" s="152"/>
      <c r="C400" s="152"/>
      <c r="D400" s="152"/>
      <c r="E400" s="152"/>
      <c r="F400" s="152"/>
      <c r="G400" s="152"/>
      <c r="H400" s="152"/>
      <c r="I400" s="152"/>
      <c r="J400" s="152"/>
      <c r="K400" s="152"/>
      <c r="L400" s="152"/>
      <c r="M400" s="152"/>
      <c r="N400" s="152"/>
      <c r="O400" s="7"/>
      <c r="P400" s="197"/>
      <c r="Q400" s="103"/>
      <c r="S400" s="7"/>
      <c r="T400" s="7"/>
      <c r="U400" s="7"/>
      <c r="V400" s="7"/>
    </row>
    <row r="401" spans="2:22" ht="12.5">
      <c r="B401" s="152"/>
      <c r="C401" s="152"/>
      <c r="D401" s="152"/>
      <c r="E401" s="152"/>
      <c r="F401" s="152"/>
      <c r="G401" s="152"/>
      <c r="H401" s="152"/>
      <c r="I401" s="152"/>
      <c r="J401" s="152"/>
      <c r="K401" s="152"/>
      <c r="L401" s="152"/>
      <c r="M401" s="152"/>
      <c r="N401" s="152"/>
      <c r="O401" s="7"/>
      <c r="P401" s="197"/>
      <c r="Q401" s="103"/>
      <c r="S401" s="7"/>
      <c r="T401" s="7"/>
      <c r="U401" s="7"/>
      <c r="V401" s="7"/>
    </row>
    <row r="402" spans="2:22" ht="12.5">
      <c r="B402" s="152"/>
      <c r="C402" s="152"/>
      <c r="D402" s="152"/>
      <c r="E402" s="152"/>
      <c r="F402" s="152"/>
      <c r="G402" s="152"/>
      <c r="H402" s="152"/>
      <c r="I402" s="152"/>
      <c r="J402" s="152"/>
      <c r="K402" s="152"/>
      <c r="L402" s="152"/>
      <c r="M402" s="152"/>
      <c r="N402" s="152"/>
      <c r="O402" s="7"/>
      <c r="P402" s="197"/>
      <c r="Q402" s="103"/>
      <c r="S402" s="7"/>
      <c r="T402" s="7"/>
      <c r="U402" s="7"/>
      <c r="V402" s="7"/>
    </row>
    <row r="403" spans="2:22" ht="12.5">
      <c r="B403" s="152"/>
      <c r="C403" s="152"/>
      <c r="D403" s="152"/>
      <c r="E403" s="152"/>
      <c r="F403" s="152"/>
      <c r="G403" s="152"/>
      <c r="H403" s="152"/>
      <c r="I403" s="152"/>
      <c r="J403" s="152"/>
      <c r="K403" s="152"/>
      <c r="L403" s="152"/>
      <c r="M403" s="152"/>
      <c r="N403" s="152"/>
      <c r="O403" s="7"/>
      <c r="P403" s="197"/>
      <c r="Q403" s="103"/>
      <c r="S403" s="7"/>
      <c r="T403" s="7"/>
      <c r="U403" s="7"/>
      <c r="V403" s="7"/>
    </row>
    <row r="404" spans="2:22" ht="12.5">
      <c r="B404" s="152"/>
      <c r="C404" s="152"/>
      <c r="D404" s="152"/>
      <c r="E404" s="152"/>
      <c r="F404" s="152"/>
      <c r="G404" s="152"/>
      <c r="H404" s="152"/>
      <c r="I404" s="152"/>
      <c r="J404" s="152"/>
      <c r="K404" s="152"/>
      <c r="L404" s="152"/>
      <c r="M404" s="152"/>
      <c r="N404" s="152"/>
      <c r="O404" s="7"/>
      <c r="P404" s="197"/>
      <c r="Q404" s="103"/>
      <c r="S404" s="7"/>
      <c r="T404" s="7"/>
      <c r="U404" s="7"/>
      <c r="V404" s="7"/>
    </row>
    <row r="405" spans="2:22" ht="12.5">
      <c r="B405" s="152"/>
      <c r="C405" s="152"/>
      <c r="D405" s="152"/>
      <c r="E405" s="152"/>
      <c r="F405" s="152"/>
      <c r="G405" s="152"/>
      <c r="H405" s="152"/>
      <c r="I405" s="152"/>
      <c r="J405" s="152"/>
      <c r="K405" s="152"/>
      <c r="L405" s="152"/>
      <c r="M405" s="152"/>
      <c r="N405" s="152"/>
      <c r="O405" s="7"/>
      <c r="P405" s="197"/>
      <c r="Q405" s="103"/>
      <c r="S405" s="7"/>
      <c r="T405" s="7"/>
      <c r="U405" s="7"/>
      <c r="V405" s="7"/>
    </row>
    <row r="406" spans="2:22" ht="12.5">
      <c r="B406" s="152"/>
      <c r="C406" s="152"/>
      <c r="D406" s="152"/>
      <c r="E406" s="152"/>
      <c r="F406" s="152"/>
      <c r="G406" s="152"/>
      <c r="H406" s="152"/>
      <c r="I406" s="152"/>
      <c r="J406" s="152"/>
      <c r="K406" s="152"/>
      <c r="L406" s="152"/>
      <c r="M406" s="152"/>
      <c r="N406" s="152"/>
      <c r="O406" s="7"/>
      <c r="P406" s="197"/>
      <c r="Q406" s="103"/>
      <c r="S406" s="7"/>
      <c r="T406" s="7"/>
      <c r="U406" s="7"/>
      <c r="V406" s="7"/>
    </row>
    <row r="407" spans="2:22" ht="12.5">
      <c r="B407" s="152"/>
      <c r="C407" s="152"/>
      <c r="D407" s="152"/>
      <c r="E407" s="152"/>
      <c r="F407" s="152"/>
      <c r="G407" s="152"/>
      <c r="H407" s="152"/>
      <c r="I407" s="152"/>
      <c r="J407" s="152"/>
      <c r="K407" s="152"/>
      <c r="L407" s="152"/>
      <c r="M407" s="152"/>
      <c r="N407" s="152"/>
      <c r="O407" s="7"/>
      <c r="P407" s="197"/>
      <c r="Q407" s="103"/>
      <c r="S407" s="7"/>
      <c r="T407" s="7"/>
      <c r="U407" s="7"/>
      <c r="V407" s="7"/>
    </row>
    <row r="408" spans="2:22" ht="12.5">
      <c r="B408" s="152"/>
      <c r="C408" s="152"/>
      <c r="D408" s="152"/>
      <c r="E408" s="152"/>
      <c r="F408" s="152"/>
      <c r="G408" s="152"/>
      <c r="H408" s="152"/>
      <c r="I408" s="152"/>
      <c r="J408" s="152"/>
      <c r="K408" s="152"/>
      <c r="L408" s="152"/>
      <c r="M408" s="152"/>
      <c r="N408" s="152"/>
      <c r="O408" s="7"/>
      <c r="P408" s="197"/>
      <c r="Q408" s="103"/>
      <c r="S408" s="7"/>
      <c r="T408" s="7"/>
      <c r="U408" s="7"/>
      <c r="V408" s="7"/>
    </row>
    <row r="409" spans="2:22" ht="12.5">
      <c r="B409" s="152"/>
      <c r="C409" s="152"/>
      <c r="D409" s="152"/>
      <c r="E409" s="152"/>
      <c r="F409" s="152"/>
      <c r="G409" s="152"/>
      <c r="H409" s="152"/>
      <c r="I409" s="152"/>
      <c r="J409" s="152"/>
      <c r="K409" s="152"/>
      <c r="L409" s="152"/>
      <c r="M409" s="152"/>
      <c r="N409" s="152"/>
      <c r="O409" s="7"/>
      <c r="P409" s="197"/>
      <c r="Q409" s="103"/>
      <c r="S409" s="7"/>
      <c r="T409" s="7"/>
      <c r="U409" s="7"/>
      <c r="V409" s="7"/>
    </row>
    <row r="410" spans="2:22" ht="12.5">
      <c r="B410" s="152"/>
      <c r="C410" s="152"/>
      <c r="D410" s="152"/>
      <c r="E410" s="152"/>
      <c r="F410" s="152"/>
      <c r="G410" s="152"/>
      <c r="H410" s="152"/>
      <c r="I410" s="152"/>
      <c r="J410" s="152"/>
      <c r="K410" s="152"/>
      <c r="L410" s="152"/>
      <c r="M410" s="152"/>
      <c r="N410" s="152"/>
      <c r="O410" s="7"/>
      <c r="P410" s="197"/>
      <c r="Q410" s="103"/>
      <c r="S410" s="7"/>
      <c r="T410" s="7"/>
      <c r="U410" s="7"/>
      <c r="V410" s="7"/>
    </row>
    <row r="411" spans="2:22" ht="12.5">
      <c r="B411" s="152"/>
      <c r="C411" s="152"/>
      <c r="D411" s="152"/>
      <c r="E411" s="152"/>
      <c r="F411" s="152"/>
      <c r="G411" s="152"/>
      <c r="H411" s="152"/>
      <c r="I411" s="152"/>
      <c r="J411" s="152"/>
      <c r="K411" s="152"/>
      <c r="L411" s="152"/>
      <c r="M411" s="152"/>
      <c r="N411" s="152"/>
      <c r="O411" s="7"/>
      <c r="P411" s="197"/>
      <c r="Q411" s="103"/>
      <c r="S411" s="7"/>
      <c r="T411" s="7"/>
      <c r="U411" s="7"/>
      <c r="V411" s="7"/>
    </row>
    <row r="412" spans="2:22" ht="12.5">
      <c r="B412" s="152"/>
      <c r="C412" s="152"/>
      <c r="D412" s="152"/>
      <c r="E412" s="152"/>
      <c r="F412" s="152"/>
      <c r="G412" s="152"/>
      <c r="H412" s="152"/>
      <c r="I412" s="152"/>
      <c r="J412" s="152"/>
      <c r="K412" s="152"/>
      <c r="L412" s="152"/>
      <c r="M412" s="152"/>
      <c r="N412" s="152"/>
      <c r="O412" s="7"/>
      <c r="P412" s="197"/>
      <c r="Q412" s="103"/>
      <c r="S412" s="7"/>
      <c r="T412" s="7"/>
      <c r="U412" s="7"/>
      <c r="V412" s="7"/>
    </row>
    <row r="413" spans="2:22" ht="12.5">
      <c r="B413" s="152"/>
      <c r="C413" s="152"/>
      <c r="D413" s="152"/>
      <c r="E413" s="152"/>
      <c r="F413" s="152"/>
      <c r="G413" s="152"/>
      <c r="H413" s="152"/>
      <c r="I413" s="152"/>
      <c r="J413" s="152"/>
      <c r="K413" s="152"/>
      <c r="L413" s="152"/>
      <c r="M413" s="152"/>
      <c r="N413" s="152"/>
      <c r="O413" s="7"/>
      <c r="P413" s="197"/>
      <c r="Q413" s="103"/>
      <c r="S413" s="7"/>
      <c r="T413" s="7"/>
      <c r="U413" s="7"/>
      <c r="V413" s="7"/>
    </row>
    <row r="414" spans="2:22" ht="12.5">
      <c r="B414" s="152"/>
      <c r="C414" s="152"/>
      <c r="D414" s="152"/>
      <c r="E414" s="152"/>
      <c r="F414" s="152"/>
      <c r="G414" s="152"/>
      <c r="H414" s="152"/>
      <c r="I414" s="152"/>
      <c r="J414" s="152"/>
      <c r="K414" s="152"/>
      <c r="L414" s="152"/>
      <c r="M414" s="152"/>
      <c r="N414" s="152"/>
      <c r="O414" s="7"/>
      <c r="P414" s="197"/>
      <c r="Q414" s="103"/>
      <c r="S414" s="7"/>
      <c r="T414" s="7"/>
      <c r="U414" s="7"/>
      <c r="V414" s="7"/>
    </row>
    <row r="415" spans="2:22" ht="12.5">
      <c r="B415" s="152"/>
      <c r="C415" s="152"/>
      <c r="D415" s="152"/>
      <c r="E415" s="152"/>
      <c r="F415" s="152"/>
      <c r="G415" s="152"/>
      <c r="H415" s="152"/>
      <c r="I415" s="152"/>
      <c r="J415" s="152"/>
      <c r="K415" s="152"/>
      <c r="L415" s="152"/>
      <c r="M415" s="152"/>
      <c r="N415" s="152"/>
      <c r="O415" s="7"/>
      <c r="P415" s="197"/>
      <c r="Q415" s="103"/>
      <c r="S415" s="7"/>
      <c r="T415" s="7"/>
      <c r="U415" s="7"/>
      <c r="V415" s="7"/>
    </row>
    <row r="416" spans="2:22" ht="12.5">
      <c r="B416" s="152"/>
      <c r="C416" s="152"/>
      <c r="D416" s="152"/>
      <c r="E416" s="152"/>
      <c r="F416" s="152"/>
      <c r="G416" s="152"/>
      <c r="H416" s="152"/>
      <c r="I416" s="152"/>
      <c r="J416" s="152"/>
      <c r="K416" s="152"/>
      <c r="L416" s="152"/>
      <c r="M416" s="152"/>
      <c r="N416" s="152"/>
      <c r="O416" s="7"/>
      <c r="P416" s="197"/>
      <c r="Q416" s="103"/>
      <c r="S416" s="7"/>
      <c r="T416" s="7"/>
      <c r="U416" s="7"/>
      <c r="V416" s="7"/>
    </row>
    <row r="417" spans="2:22" ht="12.5">
      <c r="B417" s="152"/>
      <c r="C417" s="152"/>
      <c r="D417" s="152"/>
      <c r="E417" s="152"/>
      <c r="F417" s="152"/>
      <c r="G417" s="152"/>
      <c r="H417" s="152"/>
      <c r="I417" s="152"/>
      <c r="J417" s="152"/>
      <c r="K417" s="152"/>
      <c r="L417" s="152"/>
      <c r="M417" s="152"/>
      <c r="N417" s="152"/>
      <c r="O417" s="7"/>
      <c r="P417" s="197"/>
      <c r="Q417" s="103"/>
      <c r="S417" s="7"/>
      <c r="T417" s="7"/>
      <c r="U417" s="7"/>
      <c r="V417" s="7"/>
    </row>
    <row r="418" spans="2:22" ht="12.5">
      <c r="B418" s="152"/>
      <c r="C418" s="152"/>
      <c r="D418" s="152"/>
      <c r="E418" s="152"/>
      <c r="F418" s="152"/>
      <c r="G418" s="152"/>
      <c r="H418" s="152"/>
      <c r="I418" s="152"/>
      <c r="J418" s="152"/>
      <c r="K418" s="152"/>
      <c r="L418" s="152"/>
      <c r="M418" s="152"/>
      <c r="N418" s="152"/>
      <c r="O418" s="7"/>
      <c r="P418" s="197"/>
      <c r="Q418" s="103"/>
      <c r="S418" s="7"/>
      <c r="T418" s="7"/>
      <c r="U418" s="7"/>
      <c r="V418" s="7"/>
    </row>
    <row r="419" spans="2:22" ht="12.5">
      <c r="B419" s="152"/>
      <c r="C419" s="152"/>
      <c r="D419" s="152"/>
      <c r="E419" s="152"/>
      <c r="F419" s="152"/>
      <c r="G419" s="152"/>
      <c r="H419" s="152"/>
      <c r="I419" s="152"/>
      <c r="J419" s="152"/>
      <c r="K419" s="152"/>
      <c r="L419" s="152"/>
      <c r="M419" s="152"/>
      <c r="N419" s="152"/>
      <c r="O419" s="7"/>
      <c r="P419" s="197"/>
      <c r="Q419" s="103"/>
      <c r="S419" s="7"/>
      <c r="T419" s="7"/>
      <c r="U419" s="7"/>
      <c r="V419" s="7"/>
    </row>
    <row r="420" spans="2:22" ht="12.5">
      <c r="B420" s="152"/>
      <c r="C420" s="152"/>
      <c r="D420" s="152"/>
      <c r="E420" s="152"/>
      <c r="F420" s="152"/>
      <c r="G420" s="152"/>
      <c r="H420" s="152"/>
      <c r="I420" s="152"/>
      <c r="J420" s="152"/>
      <c r="K420" s="152"/>
      <c r="L420" s="152"/>
      <c r="M420" s="152"/>
      <c r="N420" s="152"/>
      <c r="O420" s="7"/>
      <c r="P420" s="197"/>
      <c r="Q420" s="103"/>
      <c r="S420" s="7"/>
      <c r="T420" s="7"/>
      <c r="U420" s="7"/>
      <c r="V420" s="7"/>
    </row>
    <row r="421" spans="2:22" ht="12.5">
      <c r="B421" s="152"/>
      <c r="C421" s="152"/>
      <c r="D421" s="152"/>
      <c r="E421" s="152"/>
      <c r="F421" s="152"/>
      <c r="G421" s="152"/>
      <c r="H421" s="152"/>
      <c r="I421" s="152"/>
      <c r="J421" s="152"/>
      <c r="K421" s="152"/>
      <c r="L421" s="152"/>
      <c r="M421" s="152"/>
      <c r="N421" s="152"/>
      <c r="O421" s="7"/>
      <c r="P421" s="197"/>
      <c r="Q421" s="103"/>
      <c r="S421" s="7"/>
      <c r="T421" s="7"/>
      <c r="U421" s="7"/>
      <c r="V421" s="7"/>
    </row>
    <row r="422" spans="2:22" ht="12.5">
      <c r="B422" s="152"/>
      <c r="C422" s="152"/>
      <c r="D422" s="152"/>
      <c r="E422" s="152"/>
      <c r="F422" s="152"/>
      <c r="G422" s="152"/>
      <c r="H422" s="152"/>
      <c r="I422" s="152"/>
      <c r="J422" s="152"/>
      <c r="K422" s="152"/>
      <c r="L422" s="152"/>
      <c r="M422" s="152"/>
      <c r="N422" s="152"/>
      <c r="O422" s="7"/>
      <c r="P422" s="197"/>
      <c r="Q422" s="103"/>
      <c r="S422" s="7"/>
      <c r="T422" s="7"/>
      <c r="U422" s="7"/>
      <c r="V422" s="7"/>
    </row>
    <row r="423" spans="2:22" ht="12.5">
      <c r="B423" s="152"/>
      <c r="C423" s="152"/>
      <c r="D423" s="152"/>
      <c r="E423" s="152"/>
      <c r="F423" s="152"/>
      <c r="G423" s="152"/>
      <c r="H423" s="152"/>
      <c r="I423" s="152"/>
      <c r="J423" s="152"/>
      <c r="K423" s="152"/>
      <c r="L423" s="152"/>
      <c r="M423" s="152"/>
      <c r="N423" s="152"/>
      <c r="O423" s="7"/>
      <c r="P423" s="197"/>
      <c r="Q423" s="103"/>
      <c r="S423" s="7"/>
      <c r="T423" s="7"/>
      <c r="U423" s="7"/>
      <c r="V423" s="7"/>
    </row>
    <row r="424" spans="2:22" ht="12.5">
      <c r="B424" s="152"/>
      <c r="C424" s="152"/>
      <c r="D424" s="152"/>
      <c r="E424" s="152"/>
      <c r="F424" s="152"/>
      <c r="G424" s="152"/>
      <c r="H424" s="152"/>
      <c r="I424" s="152"/>
      <c r="J424" s="152"/>
      <c r="K424" s="152"/>
      <c r="L424" s="152"/>
      <c r="M424" s="152"/>
      <c r="N424" s="152"/>
      <c r="O424" s="7"/>
      <c r="P424" s="197"/>
      <c r="Q424" s="103"/>
      <c r="S424" s="7"/>
      <c r="T424" s="7"/>
      <c r="U424" s="7"/>
      <c r="V424" s="7"/>
    </row>
    <row r="425" spans="2:22" ht="12.5">
      <c r="B425" s="152"/>
      <c r="C425" s="152"/>
      <c r="D425" s="152"/>
      <c r="E425" s="152"/>
      <c r="F425" s="152"/>
      <c r="G425" s="152"/>
      <c r="H425" s="152"/>
      <c r="I425" s="152"/>
      <c r="J425" s="152"/>
      <c r="K425" s="152"/>
      <c r="L425" s="152"/>
      <c r="M425" s="152"/>
      <c r="N425" s="152"/>
      <c r="O425" s="7"/>
      <c r="P425" s="197"/>
      <c r="Q425" s="103"/>
      <c r="S425" s="7"/>
      <c r="T425" s="7"/>
      <c r="U425" s="7"/>
      <c r="V425" s="7"/>
    </row>
    <row r="426" spans="2:22" ht="12.5">
      <c r="B426" s="152"/>
      <c r="C426" s="152"/>
      <c r="D426" s="152"/>
      <c r="E426" s="152"/>
      <c r="F426" s="152"/>
      <c r="G426" s="152"/>
      <c r="H426" s="152"/>
      <c r="I426" s="152"/>
      <c r="J426" s="152"/>
      <c r="K426" s="152"/>
      <c r="L426" s="152"/>
      <c r="M426" s="152"/>
      <c r="N426" s="152"/>
      <c r="O426" s="7"/>
      <c r="P426" s="197"/>
      <c r="Q426" s="103"/>
      <c r="S426" s="7"/>
      <c r="T426" s="7"/>
      <c r="U426" s="7"/>
      <c r="V426" s="7"/>
    </row>
    <row r="427" spans="2:22" ht="12.5">
      <c r="B427" s="152"/>
      <c r="C427" s="152"/>
      <c r="D427" s="152"/>
      <c r="E427" s="152"/>
      <c r="F427" s="152"/>
      <c r="G427" s="152"/>
      <c r="H427" s="152"/>
      <c r="I427" s="152"/>
      <c r="J427" s="152"/>
      <c r="K427" s="152"/>
      <c r="L427" s="152"/>
      <c r="M427" s="152"/>
      <c r="N427" s="152"/>
      <c r="O427" s="7"/>
      <c r="P427" s="197"/>
      <c r="Q427" s="103"/>
      <c r="S427" s="7"/>
      <c r="T427" s="7"/>
      <c r="U427" s="7"/>
      <c r="V427" s="7"/>
    </row>
    <row r="428" spans="2:22" ht="12.5">
      <c r="B428" s="152"/>
      <c r="C428" s="152"/>
      <c r="D428" s="152"/>
      <c r="E428" s="152"/>
      <c r="F428" s="152"/>
      <c r="G428" s="152"/>
      <c r="H428" s="152"/>
      <c r="I428" s="152"/>
      <c r="J428" s="152"/>
      <c r="K428" s="152"/>
      <c r="L428" s="152"/>
      <c r="M428" s="152"/>
      <c r="N428" s="152"/>
      <c r="O428" s="7"/>
      <c r="P428" s="197"/>
      <c r="Q428" s="103"/>
      <c r="S428" s="7"/>
      <c r="T428" s="7"/>
      <c r="U428" s="7"/>
      <c r="V428" s="7"/>
    </row>
    <row r="429" spans="2:22" ht="12.5">
      <c r="B429" s="152"/>
      <c r="C429" s="152"/>
      <c r="D429" s="152"/>
      <c r="E429" s="152"/>
      <c r="F429" s="152"/>
      <c r="G429" s="152"/>
      <c r="H429" s="152"/>
      <c r="I429" s="152"/>
      <c r="J429" s="152"/>
      <c r="K429" s="152"/>
      <c r="L429" s="152"/>
      <c r="M429" s="152"/>
      <c r="N429" s="152"/>
      <c r="O429" s="7"/>
      <c r="P429" s="197"/>
      <c r="Q429" s="103"/>
      <c r="S429" s="7"/>
      <c r="T429" s="7"/>
      <c r="U429" s="7"/>
      <c r="V429" s="7"/>
    </row>
    <row r="430" spans="2:22" ht="12.5">
      <c r="B430" s="152"/>
      <c r="C430" s="152"/>
      <c r="D430" s="152"/>
      <c r="E430" s="152"/>
      <c r="F430" s="152"/>
      <c r="G430" s="152"/>
      <c r="H430" s="152"/>
      <c r="I430" s="152"/>
      <c r="J430" s="152"/>
      <c r="K430" s="152"/>
      <c r="L430" s="152"/>
      <c r="M430" s="152"/>
      <c r="N430" s="152"/>
      <c r="O430" s="7"/>
      <c r="P430" s="197"/>
      <c r="Q430" s="103"/>
      <c r="S430" s="7"/>
      <c r="T430" s="7"/>
      <c r="U430" s="7"/>
      <c r="V430" s="7"/>
    </row>
    <row r="431" spans="2:22" ht="12.5">
      <c r="B431" s="152"/>
      <c r="C431" s="152"/>
      <c r="D431" s="152"/>
      <c r="E431" s="152"/>
      <c r="F431" s="152"/>
      <c r="G431" s="152"/>
      <c r="H431" s="152"/>
      <c r="I431" s="152"/>
      <c r="J431" s="152"/>
      <c r="K431" s="152"/>
      <c r="L431" s="152"/>
      <c r="M431" s="152"/>
      <c r="N431" s="152"/>
      <c r="O431" s="7"/>
      <c r="P431" s="197"/>
      <c r="Q431" s="103"/>
      <c r="S431" s="7"/>
      <c r="T431" s="7"/>
      <c r="U431" s="7"/>
      <c r="V431" s="7"/>
    </row>
    <row r="432" spans="2:22" ht="12.5">
      <c r="B432" s="152"/>
      <c r="C432" s="152"/>
      <c r="D432" s="152"/>
      <c r="E432" s="152"/>
      <c r="F432" s="152"/>
      <c r="G432" s="152"/>
      <c r="H432" s="152"/>
      <c r="I432" s="152"/>
      <c r="J432" s="152"/>
      <c r="K432" s="152"/>
      <c r="L432" s="152"/>
      <c r="M432" s="152"/>
      <c r="N432" s="152"/>
      <c r="O432" s="7"/>
      <c r="P432" s="197"/>
      <c r="Q432" s="103"/>
      <c r="S432" s="7"/>
      <c r="T432" s="7"/>
      <c r="U432" s="7"/>
      <c r="V432" s="7"/>
    </row>
    <row r="433" spans="2:22" ht="12.5">
      <c r="B433" s="152"/>
      <c r="C433" s="152"/>
      <c r="D433" s="152"/>
      <c r="E433" s="152"/>
      <c r="F433" s="152"/>
      <c r="G433" s="152"/>
      <c r="H433" s="152"/>
      <c r="I433" s="152"/>
      <c r="J433" s="152"/>
      <c r="K433" s="152"/>
      <c r="L433" s="152"/>
      <c r="M433" s="152"/>
      <c r="N433" s="152"/>
      <c r="O433" s="7"/>
      <c r="P433" s="197"/>
      <c r="Q433" s="103"/>
      <c r="S433" s="7"/>
      <c r="T433" s="7"/>
      <c r="U433" s="7"/>
      <c r="V433" s="7"/>
    </row>
    <row r="434" spans="2:22" ht="12.5">
      <c r="B434" s="152"/>
      <c r="C434" s="152"/>
      <c r="D434" s="152"/>
      <c r="E434" s="152"/>
      <c r="F434" s="152"/>
      <c r="G434" s="152"/>
      <c r="H434" s="152"/>
      <c r="I434" s="152"/>
      <c r="J434" s="152"/>
      <c r="K434" s="152"/>
      <c r="L434" s="152"/>
      <c r="M434" s="152"/>
      <c r="N434" s="152"/>
      <c r="O434" s="7"/>
      <c r="P434" s="197"/>
      <c r="Q434" s="103"/>
      <c r="S434" s="7"/>
      <c r="T434" s="7"/>
      <c r="U434" s="7"/>
      <c r="V434" s="7"/>
    </row>
    <row r="435" spans="2:22" ht="12.5">
      <c r="B435" s="152"/>
      <c r="C435" s="152"/>
      <c r="D435" s="152"/>
      <c r="E435" s="152"/>
      <c r="F435" s="152"/>
      <c r="G435" s="152"/>
      <c r="H435" s="152"/>
      <c r="I435" s="152"/>
      <c r="J435" s="152"/>
      <c r="K435" s="152"/>
      <c r="L435" s="152"/>
      <c r="M435" s="152"/>
      <c r="N435" s="152"/>
      <c r="O435" s="7"/>
      <c r="P435" s="197"/>
      <c r="Q435" s="103"/>
      <c r="S435" s="7"/>
      <c r="T435" s="7"/>
      <c r="U435" s="7"/>
      <c r="V435" s="7"/>
    </row>
    <row r="436" spans="2:22" ht="12.5">
      <c r="B436" s="152"/>
      <c r="C436" s="152"/>
      <c r="D436" s="152"/>
      <c r="E436" s="152"/>
      <c r="F436" s="152"/>
      <c r="G436" s="152"/>
      <c r="H436" s="152"/>
      <c r="I436" s="152"/>
      <c r="J436" s="152"/>
      <c r="K436" s="152"/>
      <c r="L436" s="152"/>
      <c r="M436" s="152"/>
      <c r="N436" s="152"/>
      <c r="O436" s="7"/>
      <c r="P436" s="197"/>
      <c r="Q436" s="103"/>
      <c r="S436" s="7"/>
      <c r="T436" s="7"/>
      <c r="U436" s="7"/>
      <c r="V436" s="7"/>
    </row>
    <row r="437" spans="2:22" ht="12.5">
      <c r="B437" s="152"/>
      <c r="C437" s="152"/>
      <c r="D437" s="152"/>
      <c r="E437" s="152"/>
      <c r="F437" s="152"/>
      <c r="G437" s="152"/>
      <c r="H437" s="152"/>
      <c r="I437" s="152"/>
      <c r="J437" s="152"/>
      <c r="K437" s="152"/>
      <c r="L437" s="152"/>
      <c r="M437" s="152"/>
      <c r="N437" s="152"/>
      <c r="O437" s="7"/>
      <c r="P437" s="197"/>
      <c r="Q437" s="103"/>
      <c r="S437" s="7"/>
      <c r="T437" s="7"/>
      <c r="U437" s="7"/>
      <c r="V437" s="7"/>
    </row>
    <row r="438" spans="2:22" ht="12.5">
      <c r="B438" s="152"/>
      <c r="C438" s="152"/>
      <c r="D438" s="152"/>
      <c r="E438" s="152"/>
      <c r="F438" s="152"/>
      <c r="G438" s="152"/>
      <c r="H438" s="152"/>
      <c r="I438" s="152"/>
      <c r="J438" s="152"/>
      <c r="K438" s="152"/>
      <c r="L438" s="152"/>
      <c r="M438" s="152"/>
      <c r="N438" s="152"/>
      <c r="O438" s="7"/>
      <c r="P438" s="197"/>
      <c r="Q438" s="103"/>
      <c r="S438" s="7"/>
      <c r="T438" s="7"/>
      <c r="U438" s="7"/>
      <c r="V438" s="7"/>
    </row>
    <row r="439" spans="2:22" ht="12.5">
      <c r="B439" s="152"/>
      <c r="C439" s="152"/>
      <c r="D439" s="152"/>
      <c r="E439" s="152"/>
      <c r="F439" s="152"/>
      <c r="G439" s="152"/>
      <c r="H439" s="152"/>
      <c r="I439" s="152"/>
      <c r="J439" s="152"/>
      <c r="K439" s="152"/>
      <c r="L439" s="152"/>
      <c r="M439" s="152"/>
      <c r="N439" s="152"/>
      <c r="O439" s="7"/>
      <c r="P439" s="197"/>
      <c r="Q439" s="103"/>
      <c r="S439" s="7"/>
      <c r="T439" s="7"/>
      <c r="U439" s="7"/>
      <c r="V439" s="7"/>
    </row>
    <row r="440" spans="2:22" ht="12.5">
      <c r="B440" s="152"/>
      <c r="C440" s="152"/>
      <c r="D440" s="152"/>
      <c r="E440" s="152"/>
      <c r="F440" s="152"/>
      <c r="G440" s="152"/>
      <c r="H440" s="152"/>
      <c r="I440" s="152"/>
      <c r="J440" s="152"/>
      <c r="K440" s="152"/>
      <c r="L440" s="152"/>
      <c r="M440" s="152"/>
      <c r="N440" s="152"/>
      <c r="O440" s="7"/>
      <c r="P440" s="197"/>
      <c r="Q440" s="103"/>
      <c r="S440" s="7"/>
      <c r="T440" s="7"/>
      <c r="U440" s="7"/>
      <c r="V440" s="7"/>
    </row>
    <row r="441" spans="2:22" ht="12.5">
      <c r="B441" s="152"/>
      <c r="C441" s="152"/>
      <c r="D441" s="152"/>
      <c r="E441" s="152"/>
      <c r="F441" s="152"/>
      <c r="G441" s="152"/>
      <c r="H441" s="152"/>
      <c r="I441" s="152"/>
      <c r="J441" s="152"/>
      <c r="K441" s="152"/>
      <c r="L441" s="152"/>
      <c r="M441" s="152"/>
      <c r="N441" s="152"/>
      <c r="O441" s="7"/>
      <c r="P441" s="197"/>
      <c r="Q441" s="103"/>
      <c r="S441" s="7"/>
      <c r="T441" s="7"/>
      <c r="U441" s="7"/>
      <c r="V441" s="7"/>
    </row>
    <row r="442" spans="2:22" ht="12.5">
      <c r="B442" s="152"/>
      <c r="C442" s="152"/>
      <c r="D442" s="152"/>
      <c r="E442" s="152"/>
      <c r="F442" s="152"/>
      <c r="G442" s="152"/>
      <c r="H442" s="152"/>
      <c r="I442" s="152"/>
      <c r="J442" s="152"/>
      <c r="K442" s="152"/>
      <c r="L442" s="152"/>
      <c r="M442" s="152"/>
      <c r="N442" s="152"/>
      <c r="O442" s="7"/>
      <c r="P442" s="197"/>
      <c r="Q442" s="103"/>
      <c r="S442" s="7"/>
      <c r="T442" s="7"/>
      <c r="U442" s="7"/>
      <c r="V442" s="7"/>
    </row>
    <row r="443" spans="2:22" ht="12.5">
      <c r="B443" s="152"/>
      <c r="C443" s="152"/>
      <c r="D443" s="152"/>
      <c r="E443" s="152"/>
      <c r="F443" s="152"/>
      <c r="G443" s="152"/>
      <c r="H443" s="152"/>
      <c r="I443" s="152"/>
      <c r="J443" s="152"/>
      <c r="K443" s="152"/>
      <c r="L443" s="152"/>
      <c r="M443" s="152"/>
      <c r="N443" s="152"/>
      <c r="O443" s="7"/>
      <c r="P443" s="197"/>
      <c r="Q443" s="103"/>
      <c r="S443" s="7"/>
      <c r="T443" s="7"/>
      <c r="U443" s="7"/>
      <c r="V443" s="7"/>
    </row>
    <row r="444" spans="2:22" ht="12.5">
      <c r="B444" s="152"/>
      <c r="C444" s="152"/>
      <c r="D444" s="152"/>
      <c r="E444" s="152"/>
      <c r="F444" s="152"/>
      <c r="G444" s="152"/>
      <c r="H444" s="152"/>
      <c r="I444" s="152"/>
      <c r="J444" s="152"/>
      <c r="K444" s="152"/>
      <c r="L444" s="152"/>
      <c r="M444" s="152"/>
      <c r="N444" s="152"/>
      <c r="O444" s="7"/>
      <c r="P444" s="197"/>
      <c r="Q444" s="103"/>
      <c r="S444" s="7"/>
      <c r="T444" s="7"/>
      <c r="U444" s="7"/>
      <c r="V444" s="7"/>
    </row>
    <row r="445" spans="2:22" ht="12.5">
      <c r="B445" s="152"/>
      <c r="C445" s="152"/>
      <c r="D445" s="152"/>
      <c r="E445" s="152"/>
      <c r="F445" s="152"/>
      <c r="G445" s="152"/>
      <c r="H445" s="152"/>
      <c r="I445" s="152"/>
      <c r="J445" s="152"/>
      <c r="K445" s="152"/>
      <c r="L445" s="152"/>
      <c r="M445" s="152"/>
      <c r="N445" s="152"/>
      <c r="O445" s="7"/>
      <c r="P445" s="197"/>
      <c r="Q445" s="103"/>
      <c r="S445" s="7"/>
      <c r="T445" s="7"/>
      <c r="U445" s="7"/>
      <c r="V445" s="7"/>
    </row>
    <row r="446" spans="2:22" ht="12.5">
      <c r="B446" s="152"/>
      <c r="C446" s="152"/>
      <c r="D446" s="152"/>
      <c r="E446" s="152"/>
      <c r="F446" s="152"/>
      <c r="G446" s="152"/>
      <c r="H446" s="152"/>
      <c r="I446" s="152"/>
      <c r="J446" s="152"/>
      <c r="K446" s="152"/>
      <c r="L446" s="152"/>
      <c r="M446" s="152"/>
      <c r="N446" s="152"/>
      <c r="O446" s="7"/>
      <c r="P446" s="197"/>
      <c r="Q446" s="103"/>
      <c r="S446" s="7"/>
      <c r="T446" s="7"/>
      <c r="U446" s="7"/>
      <c r="V446" s="7"/>
    </row>
    <row r="447" spans="2:22" ht="12.5">
      <c r="B447" s="152"/>
      <c r="C447" s="152"/>
      <c r="D447" s="152"/>
      <c r="E447" s="152"/>
      <c r="F447" s="152"/>
      <c r="G447" s="152"/>
      <c r="H447" s="152"/>
      <c r="I447" s="152"/>
      <c r="J447" s="152"/>
      <c r="K447" s="152"/>
      <c r="L447" s="152"/>
      <c r="M447" s="152"/>
      <c r="N447" s="152"/>
      <c r="O447" s="7"/>
      <c r="P447" s="197"/>
      <c r="Q447" s="103"/>
      <c r="S447" s="7"/>
      <c r="T447" s="7"/>
      <c r="U447" s="7"/>
      <c r="V447" s="7"/>
    </row>
    <row r="448" spans="2:22" ht="12.5">
      <c r="B448" s="152"/>
      <c r="C448" s="152"/>
      <c r="D448" s="152"/>
      <c r="E448" s="152"/>
      <c r="F448" s="152"/>
      <c r="G448" s="152"/>
      <c r="H448" s="152"/>
      <c r="I448" s="152"/>
      <c r="J448" s="152"/>
      <c r="K448" s="152"/>
      <c r="L448" s="152"/>
      <c r="M448" s="152"/>
      <c r="N448" s="152"/>
      <c r="O448" s="7"/>
      <c r="P448" s="197"/>
      <c r="Q448" s="103"/>
      <c r="S448" s="7"/>
      <c r="T448" s="7"/>
      <c r="U448" s="7"/>
      <c r="V448" s="7"/>
    </row>
    <row r="449" spans="2:22" ht="12.5">
      <c r="B449" s="152"/>
      <c r="C449" s="152"/>
      <c r="D449" s="152"/>
      <c r="E449" s="152"/>
      <c r="F449" s="152"/>
      <c r="G449" s="152"/>
      <c r="H449" s="152"/>
      <c r="I449" s="152"/>
      <c r="J449" s="152"/>
      <c r="K449" s="152"/>
      <c r="L449" s="152"/>
      <c r="M449" s="152"/>
      <c r="N449" s="152"/>
      <c r="O449" s="7"/>
      <c r="P449" s="197"/>
      <c r="Q449" s="103"/>
      <c r="S449" s="7"/>
      <c r="T449" s="7"/>
      <c r="U449" s="7"/>
      <c r="V449" s="7"/>
    </row>
    <row r="450" spans="2:22" ht="12.5">
      <c r="B450" s="152"/>
      <c r="C450" s="152"/>
      <c r="D450" s="152"/>
      <c r="E450" s="152"/>
      <c r="F450" s="152"/>
      <c r="G450" s="152"/>
      <c r="H450" s="152"/>
      <c r="I450" s="152"/>
      <c r="J450" s="152"/>
      <c r="K450" s="152"/>
      <c r="L450" s="152"/>
      <c r="M450" s="152"/>
      <c r="N450" s="152"/>
      <c r="O450" s="7"/>
      <c r="P450" s="197"/>
      <c r="Q450" s="103"/>
      <c r="S450" s="7"/>
      <c r="T450" s="7"/>
      <c r="U450" s="7"/>
      <c r="V450" s="7"/>
    </row>
    <row r="451" spans="2:22" ht="12.5">
      <c r="B451" s="152"/>
      <c r="C451" s="152"/>
      <c r="D451" s="152"/>
      <c r="E451" s="152"/>
      <c r="F451" s="152"/>
      <c r="G451" s="152"/>
      <c r="H451" s="152"/>
      <c r="I451" s="152"/>
      <c r="J451" s="152"/>
      <c r="K451" s="152"/>
      <c r="L451" s="152"/>
      <c r="M451" s="152"/>
      <c r="N451" s="152"/>
      <c r="O451" s="7"/>
      <c r="P451" s="197"/>
      <c r="Q451" s="103"/>
      <c r="S451" s="7"/>
      <c r="T451" s="7"/>
      <c r="U451" s="7"/>
      <c r="V451" s="7"/>
    </row>
    <row r="452" spans="2:22" ht="12.5">
      <c r="B452" s="152"/>
      <c r="C452" s="152"/>
      <c r="D452" s="152"/>
      <c r="E452" s="152"/>
      <c r="F452" s="152"/>
      <c r="G452" s="152"/>
      <c r="H452" s="152"/>
      <c r="I452" s="152"/>
      <c r="J452" s="152"/>
      <c r="K452" s="152"/>
      <c r="L452" s="152"/>
      <c r="M452" s="152"/>
      <c r="N452" s="152"/>
      <c r="O452" s="7"/>
      <c r="P452" s="197"/>
      <c r="Q452" s="103"/>
      <c r="S452" s="7"/>
      <c r="T452" s="7"/>
      <c r="U452" s="7"/>
      <c r="V452" s="7"/>
    </row>
    <row r="453" spans="2:22" ht="12.5">
      <c r="B453" s="152"/>
      <c r="C453" s="152"/>
      <c r="D453" s="152"/>
      <c r="E453" s="152"/>
      <c r="F453" s="152"/>
      <c r="G453" s="152"/>
      <c r="H453" s="152"/>
      <c r="I453" s="152"/>
      <c r="J453" s="152"/>
      <c r="K453" s="152"/>
      <c r="L453" s="152"/>
      <c r="M453" s="152"/>
      <c r="N453" s="152"/>
      <c r="O453" s="7"/>
      <c r="P453" s="197"/>
      <c r="Q453" s="103"/>
      <c r="S453" s="7"/>
      <c r="T453" s="7"/>
      <c r="U453" s="7"/>
      <c r="V453" s="7"/>
    </row>
    <row r="454" spans="2:22" ht="12.5">
      <c r="B454" s="152"/>
      <c r="C454" s="152"/>
      <c r="D454" s="152"/>
      <c r="E454" s="152"/>
      <c r="F454" s="152"/>
      <c r="G454" s="152"/>
      <c r="H454" s="152"/>
      <c r="I454" s="152"/>
      <c r="J454" s="152"/>
      <c r="K454" s="152"/>
      <c r="L454" s="152"/>
      <c r="M454" s="152"/>
      <c r="N454" s="152"/>
      <c r="O454" s="7"/>
      <c r="P454" s="197"/>
      <c r="Q454" s="103"/>
      <c r="S454" s="7"/>
      <c r="T454" s="7"/>
      <c r="U454" s="7"/>
      <c r="V454" s="7"/>
    </row>
    <row r="455" spans="2:22" ht="12.5">
      <c r="B455" s="152"/>
      <c r="C455" s="152"/>
      <c r="D455" s="152"/>
      <c r="E455" s="152"/>
      <c r="F455" s="152"/>
      <c r="G455" s="152"/>
      <c r="H455" s="152"/>
      <c r="I455" s="152"/>
      <c r="J455" s="152"/>
      <c r="K455" s="152"/>
      <c r="L455" s="152"/>
      <c r="M455" s="152"/>
      <c r="N455" s="152"/>
      <c r="O455" s="7"/>
      <c r="P455" s="197"/>
      <c r="Q455" s="103"/>
      <c r="S455" s="7"/>
      <c r="T455" s="7"/>
      <c r="U455" s="7"/>
      <c r="V455" s="7"/>
    </row>
    <row r="456" spans="2:22" ht="12.5">
      <c r="B456" s="152"/>
      <c r="C456" s="152"/>
      <c r="D456" s="152"/>
      <c r="E456" s="152"/>
      <c r="F456" s="152"/>
      <c r="G456" s="152"/>
      <c r="H456" s="152"/>
      <c r="I456" s="152"/>
      <c r="J456" s="152"/>
      <c r="K456" s="152"/>
      <c r="L456" s="152"/>
      <c r="M456" s="152"/>
      <c r="N456" s="152"/>
      <c r="O456" s="7"/>
      <c r="P456" s="197"/>
      <c r="Q456" s="103"/>
      <c r="S456" s="7"/>
      <c r="T456" s="7"/>
      <c r="U456" s="7"/>
      <c r="V456" s="7"/>
    </row>
    <row r="457" spans="2:22" ht="12.5">
      <c r="B457" s="152"/>
      <c r="C457" s="152"/>
      <c r="D457" s="152"/>
      <c r="E457" s="152"/>
      <c r="F457" s="152"/>
      <c r="G457" s="152"/>
      <c r="H457" s="152"/>
      <c r="I457" s="152"/>
      <c r="J457" s="152"/>
      <c r="K457" s="152"/>
      <c r="L457" s="152"/>
      <c r="M457" s="152"/>
      <c r="N457" s="152"/>
      <c r="O457" s="7"/>
      <c r="P457" s="197"/>
      <c r="Q457" s="103"/>
      <c r="S457" s="7"/>
      <c r="T457" s="7"/>
      <c r="U457" s="7"/>
      <c r="V457" s="7"/>
    </row>
    <row r="458" spans="2:22" ht="12.5">
      <c r="B458" s="152"/>
      <c r="C458" s="152"/>
      <c r="D458" s="152"/>
      <c r="E458" s="152"/>
      <c r="F458" s="152"/>
      <c r="G458" s="152"/>
      <c r="H458" s="152"/>
      <c r="I458" s="152"/>
      <c r="J458" s="152"/>
      <c r="K458" s="152"/>
      <c r="L458" s="152"/>
      <c r="M458" s="152"/>
      <c r="N458" s="152"/>
      <c r="O458" s="7"/>
      <c r="P458" s="197"/>
      <c r="Q458" s="103"/>
      <c r="S458" s="7"/>
      <c r="T458" s="7"/>
      <c r="U458" s="7"/>
      <c r="V458" s="7"/>
    </row>
    <row r="459" spans="2:22" ht="12.5">
      <c r="B459" s="152"/>
      <c r="C459" s="152"/>
      <c r="D459" s="152"/>
      <c r="E459" s="152"/>
      <c r="F459" s="152"/>
      <c r="G459" s="152"/>
      <c r="H459" s="152"/>
      <c r="I459" s="152"/>
      <c r="J459" s="152"/>
      <c r="K459" s="152"/>
      <c r="L459" s="152"/>
      <c r="M459" s="152"/>
      <c r="N459" s="152"/>
      <c r="O459" s="7"/>
      <c r="P459" s="197"/>
      <c r="Q459" s="103"/>
      <c r="S459" s="7"/>
      <c r="T459" s="7"/>
      <c r="U459" s="7"/>
      <c r="V459" s="7"/>
    </row>
    <row r="460" spans="2:22" ht="12.5">
      <c r="B460" s="152"/>
      <c r="C460" s="152"/>
      <c r="D460" s="152"/>
      <c r="E460" s="152"/>
      <c r="F460" s="152"/>
      <c r="G460" s="152"/>
      <c r="H460" s="152"/>
      <c r="I460" s="152"/>
      <c r="J460" s="152"/>
      <c r="K460" s="152"/>
      <c r="L460" s="152"/>
      <c r="M460" s="152"/>
      <c r="N460" s="152"/>
      <c r="O460" s="7"/>
      <c r="P460" s="197"/>
      <c r="Q460" s="103"/>
      <c r="S460" s="7"/>
      <c r="T460" s="7"/>
      <c r="U460" s="7"/>
      <c r="V460" s="7"/>
    </row>
    <row r="461" spans="2:22" ht="12.5">
      <c r="B461" s="152"/>
      <c r="C461" s="152"/>
      <c r="D461" s="152"/>
      <c r="E461" s="152"/>
      <c r="F461" s="152"/>
      <c r="G461" s="152"/>
      <c r="H461" s="152"/>
      <c r="I461" s="152"/>
      <c r="J461" s="152"/>
      <c r="K461" s="152"/>
      <c r="L461" s="152"/>
      <c r="M461" s="152"/>
      <c r="N461" s="152"/>
      <c r="O461" s="7"/>
      <c r="P461" s="197"/>
      <c r="Q461" s="103"/>
      <c r="S461" s="7"/>
      <c r="T461" s="7"/>
      <c r="U461" s="7"/>
      <c r="V461" s="7"/>
    </row>
    <row r="462" spans="2:22" ht="12.5">
      <c r="B462" s="152"/>
      <c r="C462" s="152"/>
      <c r="D462" s="152"/>
      <c r="E462" s="152"/>
      <c r="F462" s="152"/>
      <c r="G462" s="152"/>
      <c r="H462" s="152"/>
      <c r="I462" s="152"/>
      <c r="J462" s="152"/>
      <c r="K462" s="152"/>
      <c r="L462" s="152"/>
      <c r="M462" s="152"/>
      <c r="N462" s="152"/>
      <c r="O462" s="7"/>
      <c r="P462" s="197"/>
      <c r="Q462" s="103"/>
      <c r="S462" s="7"/>
      <c r="T462" s="7"/>
      <c r="U462" s="7"/>
      <c r="V462" s="7"/>
    </row>
    <row r="463" spans="2:22" ht="12.5">
      <c r="B463" s="152"/>
      <c r="C463" s="152"/>
      <c r="D463" s="152"/>
      <c r="E463" s="152"/>
      <c r="F463" s="152"/>
      <c r="G463" s="152"/>
      <c r="H463" s="152"/>
      <c r="I463" s="152"/>
      <c r="J463" s="152"/>
      <c r="K463" s="152"/>
      <c r="L463" s="152"/>
      <c r="M463" s="152"/>
      <c r="N463" s="152"/>
      <c r="O463" s="7"/>
      <c r="P463" s="197"/>
      <c r="Q463" s="103"/>
      <c r="S463" s="7"/>
      <c r="T463" s="7"/>
      <c r="U463" s="7"/>
      <c r="V463" s="7"/>
    </row>
    <row r="464" spans="2:22" ht="12.5">
      <c r="B464" s="152"/>
      <c r="C464" s="152"/>
      <c r="D464" s="152"/>
      <c r="E464" s="152"/>
      <c r="F464" s="152"/>
      <c r="G464" s="152"/>
      <c r="H464" s="152"/>
      <c r="I464" s="152"/>
      <c r="J464" s="152"/>
      <c r="K464" s="152"/>
      <c r="L464" s="152"/>
      <c r="M464" s="152"/>
      <c r="N464" s="152"/>
      <c r="O464" s="7"/>
      <c r="P464" s="197"/>
      <c r="Q464" s="103"/>
      <c r="S464" s="7"/>
      <c r="T464" s="7"/>
      <c r="U464" s="7"/>
      <c r="V464" s="7"/>
    </row>
    <row r="465" spans="2:22" ht="12.5">
      <c r="B465" s="152"/>
      <c r="C465" s="152"/>
      <c r="D465" s="152"/>
      <c r="E465" s="152"/>
      <c r="F465" s="152"/>
      <c r="G465" s="152"/>
      <c r="H465" s="152"/>
      <c r="I465" s="152"/>
      <c r="J465" s="152"/>
      <c r="K465" s="152"/>
      <c r="L465" s="152"/>
      <c r="M465" s="152"/>
      <c r="N465" s="152"/>
      <c r="O465" s="7"/>
      <c r="P465" s="197"/>
      <c r="Q465" s="103"/>
      <c r="S465" s="7"/>
      <c r="T465" s="7"/>
      <c r="U465" s="7"/>
      <c r="V465" s="7"/>
    </row>
    <row r="466" spans="2:22" ht="12.5">
      <c r="B466" s="152"/>
      <c r="C466" s="152"/>
      <c r="D466" s="152"/>
      <c r="E466" s="152"/>
      <c r="F466" s="152"/>
      <c r="G466" s="152"/>
      <c r="H466" s="152"/>
      <c r="I466" s="152"/>
      <c r="J466" s="152"/>
      <c r="K466" s="152"/>
      <c r="L466" s="152"/>
      <c r="M466" s="152"/>
      <c r="N466" s="152"/>
      <c r="O466" s="7"/>
      <c r="P466" s="197"/>
      <c r="Q466" s="103"/>
      <c r="S466" s="7"/>
      <c r="T466" s="7"/>
      <c r="U466" s="7"/>
      <c r="V466" s="7"/>
    </row>
    <row r="467" spans="2:22" ht="12.5">
      <c r="B467" s="152"/>
      <c r="C467" s="152"/>
      <c r="D467" s="152"/>
      <c r="E467" s="152"/>
      <c r="F467" s="152"/>
      <c r="G467" s="152"/>
      <c r="H467" s="152"/>
      <c r="I467" s="152"/>
      <c r="J467" s="152"/>
      <c r="K467" s="152"/>
      <c r="L467" s="152"/>
      <c r="M467" s="152"/>
      <c r="N467" s="152"/>
      <c r="O467" s="7"/>
      <c r="P467" s="197"/>
      <c r="Q467" s="103"/>
      <c r="S467" s="7"/>
      <c r="T467" s="7"/>
      <c r="U467" s="7"/>
      <c r="V467" s="7"/>
    </row>
    <row r="468" spans="2:22" ht="12.5">
      <c r="B468" s="152"/>
      <c r="C468" s="152"/>
      <c r="D468" s="152"/>
      <c r="E468" s="152"/>
      <c r="F468" s="152"/>
      <c r="G468" s="152"/>
      <c r="H468" s="152"/>
      <c r="I468" s="152"/>
      <c r="J468" s="152"/>
      <c r="K468" s="152"/>
      <c r="L468" s="152"/>
      <c r="M468" s="152"/>
      <c r="N468" s="152"/>
      <c r="O468" s="7"/>
      <c r="P468" s="197"/>
      <c r="Q468" s="103"/>
      <c r="S468" s="7"/>
      <c r="T468" s="7"/>
      <c r="U468" s="7"/>
      <c r="V468" s="7"/>
    </row>
    <row r="469" spans="2:22" ht="12.5">
      <c r="B469" s="152"/>
      <c r="C469" s="152"/>
      <c r="D469" s="152"/>
      <c r="E469" s="152"/>
      <c r="F469" s="152"/>
      <c r="G469" s="152"/>
      <c r="H469" s="152"/>
      <c r="I469" s="152"/>
      <c r="J469" s="152"/>
      <c r="K469" s="152"/>
      <c r="L469" s="152"/>
      <c r="M469" s="152"/>
      <c r="N469" s="152"/>
      <c r="O469" s="7"/>
      <c r="P469" s="197"/>
      <c r="Q469" s="103"/>
      <c r="S469" s="7"/>
      <c r="T469" s="7"/>
      <c r="U469" s="7"/>
      <c r="V469" s="7"/>
    </row>
    <row r="470" spans="2:22" ht="12.5">
      <c r="B470" s="152"/>
      <c r="C470" s="152"/>
      <c r="D470" s="152"/>
      <c r="E470" s="152"/>
      <c r="F470" s="152"/>
      <c r="G470" s="152"/>
      <c r="H470" s="152"/>
      <c r="I470" s="152"/>
      <c r="J470" s="152"/>
      <c r="K470" s="152"/>
      <c r="L470" s="152"/>
      <c r="M470" s="152"/>
      <c r="N470" s="152"/>
      <c r="O470" s="7"/>
      <c r="P470" s="197"/>
      <c r="Q470" s="103"/>
      <c r="S470" s="7"/>
      <c r="T470" s="7"/>
      <c r="U470" s="7"/>
      <c r="V470" s="7"/>
    </row>
    <row r="471" spans="2:22" ht="12.5">
      <c r="B471" s="152"/>
      <c r="C471" s="152"/>
      <c r="D471" s="152"/>
      <c r="E471" s="152"/>
      <c r="F471" s="152"/>
      <c r="G471" s="152"/>
      <c r="H471" s="152"/>
      <c r="I471" s="152"/>
      <c r="J471" s="152"/>
      <c r="K471" s="152"/>
      <c r="L471" s="152"/>
      <c r="M471" s="152"/>
      <c r="N471" s="152"/>
      <c r="O471" s="7"/>
      <c r="P471" s="197"/>
      <c r="Q471" s="103"/>
      <c r="S471" s="7"/>
      <c r="T471" s="7"/>
      <c r="U471" s="7"/>
      <c r="V471" s="7"/>
    </row>
    <row r="472" spans="2:22" ht="12.5">
      <c r="B472" s="152"/>
      <c r="C472" s="152"/>
      <c r="D472" s="152"/>
      <c r="E472" s="152"/>
      <c r="F472" s="152"/>
      <c r="G472" s="152"/>
      <c r="H472" s="152"/>
      <c r="I472" s="152"/>
      <c r="J472" s="152"/>
      <c r="K472" s="152"/>
      <c r="L472" s="152"/>
      <c r="M472" s="152"/>
      <c r="N472" s="152"/>
      <c r="O472" s="7"/>
      <c r="P472" s="197"/>
      <c r="Q472" s="103"/>
      <c r="S472" s="7"/>
      <c r="T472" s="7"/>
      <c r="U472" s="7"/>
      <c r="V472" s="7"/>
    </row>
    <row r="473" spans="2:22" ht="12.5">
      <c r="B473" s="152"/>
      <c r="C473" s="152"/>
      <c r="D473" s="152"/>
      <c r="E473" s="152"/>
      <c r="F473" s="152"/>
      <c r="G473" s="152"/>
      <c r="H473" s="152"/>
      <c r="I473" s="152"/>
      <c r="J473" s="152"/>
      <c r="K473" s="152"/>
      <c r="L473" s="152"/>
      <c r="M473" s="152"/>
      <c r="N473" s="152"/>
      <c r="O473" s="7"/>
      <c r="P473" s="197"/>
      <c r="Q473" s="103"/>
      <c r="S473" s="7"/>
      <c r="T473" s="7"/>
      <c r="U473" s="7"/>
      <c r="V473" s="7"/>
    </row>
    <row r="474" spans="2:22" ht="12.5">
      <c r="B474" s="152"/>
      <c r="C474" s="152"/>
      <c r="D474" s="152"/>
      <c r="E474" s="152"/>
      <c r="F474" s="152"/>
      <c r="G474" s="152"/>
      <c r="H474" s="152"/>
      <c r="I474" s="152"/>
      <c r="J474" s="152"/>
      <c r="K474" s="152"/>
      <c r="L474" s="152"/>
      <c r="M474" s="152"/>
      <c r="N474" s="152"/>
      <c r="O474" s="7"/>
      <c r="P474" s="197"/>
      <c r="Q474" s="103"/>
      <c r="S474" s="7"/>
      <c r="T474" s="7"/>
      <c r="U474" s="7"/>
      <c r="V474" s="7"/>
    </row>
    <row r="475" spans="2:22" ht="12.5">
      <c r="B475" s="152"/>
      <c r="C475" s="152"/>
      <c r="D475" s="152"/>
      <c r="E475" s="152"/>
      <c r="F475" s="152"/>
      <c r="G475" s="152"/>
      <c r="H475" s="152"/>
      <c r="I475" s="152"/>
      <c r="J475" s="152"/>
      <c r="K475" s="152"/>
      <c r="L475" s="152"/>
      <c r="M475" s="152"/>
      <c r="N475" s="152"/>
      <c r="O475" s="7"/>
      <c r="P475" s="197"/>
      <c r="Q475" s="103"/>
      <c r="S475" s="7"/>
      <c r="T475" s="7"/>
      <c r="U475" s="7"/>
      <c r="V475" s="7"/>
    </row>
    <row r="476" spans="2:22" ht="12.5">
      <c r="B476" s="152"/>
      <c r="C476" s="152"/>
      <c r="D476" s="152"/>
      <c r="E476" s="152"/>
      <c r="F476" s="152"/>
      <c r="G476" s="152"/>
      <c r="H476" s="152"/>
      <c r="I476" s="152"/>
      <c r="J476" s="152"/>
      <c r="K476" s="152"/>
      <c r="L476" s="152"/>
      <c r="M476" s="152"/>
      <c r="N476" s="152"/>
      <c r="O476" s="7"/>
      <c r="P476" s="197"/>
      <c r="Q476" s="103"/>
      <c r="S476" s="7"/>
      <c r="T476" s="7"/>
      <c r="U476" s="7"/>
      <c r="V476" s="7"/>
    </row>
    <row r="477" spans="2:22" ht="12.5">
      <c r="B477" s="152"/>
      <c r="C477" s="152"/>
      <c r="D477" s="152"/>
      <c r="E477" s="152"/>
      <c r="F477" s="152"/>
      <c r="G477" s="152"/>
      <c r="H477" s="152"/>
      <c r="I477" s="152"/>
      <c r="J477" s="152"/>
      <c r="K477" s="152"/>
      <c r="L477" s="152"/>
      <c r="M477" s="152"/>
      <c r="N477" s="152"/>
      <c r="O477" s="7"/>
      <c r="P477" s="197"/>
      <c r="Q477" s="103"/>
      <c r="S477" s="7"/>
      <c r="T477" s="7"/>
      <c r="U477" s="7"/>
      <c r="V477" s="7"/>
    </row>
    <row r="478" spans="2:22" ht="12.5">
      <c r="B478" s="152"/>
      <c r="C478" s="152"/>
      <c r="D478" s="152"/>
      <c r="E478" s="152"/>
      <c r="F478" s="152"/>
      <c r="G478" s="152"/>
      <c r="H478" s="152"/>
      <c r="I478" s="152"/>
      <c r="J478" s="152"/>
      <c r="K478" s="152"/>
      <c r="L478" s="152"/>
      <c r="M478" s="152"/>
      <c r="N478" s="152"/>
      <c r="O478" s="7"/>
      <c r="P478" s="197"/>
      <c r="Q478" s="103"/>
      <c r="S478" s="7"/>
      <c r="T478" s="7"/>
      <c r="U478" s="7"/>
      <c r="V478" s="7"/>
    </row>
    <row r="479" spans="2:22" ht="12.5">
      <c r="B479" s="152"/>
      <c r="C479" s="152"/>
      <c r="D479" s="152"/>
      <c r="E479" s="152"/>
      <c r="F479" s="152"/>
      <c r="G479" s="152"/>
      <c r="H479" s="152"/>
      <c r="I479" s="152"/>
      <c r="J479" s="152"/>
      <c r="K479" s="152"/>
      <c r="L479" s="152"/>
      <c r="M479" s="152"/>
      <c r="N479" s="152"/>
      <c r="O479" s="7"/>
      <c r="P479" s="197"/>
      <c r="Q479" s="103"/>
      <c r="S479" s="7"/>
      <c r="T479" s="7"/>
      <c r="U479" s="7"/>
      <c r="V479" s="7"/>
    </row>
    <row r="480" spans="2:22" ht="12.5">
      <c r="B480" s="152"/>
      <c r="C480" s="152"/>
      <c r="D480" s="152"/>
      <c r="E480" s="152"/>
      <c r="F480" s="152"/>
      <c r="G480" s="152"/>
      <c r="H480" s="152"/>
      <c r="I480" s="152"/>
      <c r="J480" s="152"/>
      <c r="K480" s="152"/>
      <c r="L480" s="152"/>
      <c r="M480" s="152"/>
      <c r="N480" s="152"/>
      <c r="O480" s="7"/>
      <c r="P480" s="197"/>
      <c r="Q480" s="103"/>
      <c r="S480" s="7"/>
      <c r="T480" s="7"/>
      <c r="U480" s="7"/>
      <c r="V480" s="7"/>
    </row>
    <row r="481" spans="2:22" ht="12.5">
      <c r="B481" s="152"/>
      <c r="C481" s="152"/>
      <c r="D481" s="152"/>
      <c r="E481" s="152"/>
      <c r="F481" s="152"/>
      <c r="G481" s="152"/>
      <c r="H481" s="152"/>
      <c r="I481" s="152"/>
      <c r="J481" s="152"/>
      <c r="K481" s="152"/>
      <c r="L481" s="152"/>
      <c r="M481" s="152"/>
      <c r="N481" s="152"/>
      <c r="O481" s="7"/>
      <c r="P481" s="197"/>
      <c r="Q481" s="103"/>
      <c r="S481" s="7"/>
      <c r="T481" s="7"/>
      <c r="U481" s="7"/>
      <c r="V481" s="7"/>
    </row>
    <row r="482" spans="2:22" ht="12.5">
      <c r="B482" s="152"/>
      <c r="C482" s="152"/>
      <c r="D482" s="152"/>
      <c r="E482" s="152"/>
      <c r="F482" s="152"/>
      <c r="G482" s="152"/>
      <c r="H482" s="152"/>
      <c r="I482" s="152"/>
      <c r="J482" s="152"/>
      <c r="K482" s="152"/>
      <c r="L482" s="152"/>
      <c r="M482" s="152"/>
      <c r="N482" s="152"/>
      <c r="O482" s="7"/>
      <c r="P482" s="197"/>
      <c r="Q482" s="103"/>
      <c r="S482" s="7"/>
      <c r="T482" s="7"/>
      <c r="U482" s="7"/>
      <c r="V482" s="7"/>
    </row>
    <row r="483" spans="2:22" ht="12.5">
      <c r="B483" s="152"/>
      <c r="C483" s="152"/>
      <c r="D483" s="152"/>
      <c r="E483" s="152"/>
      <c r="F483" s="152"/>
      <c r="G483" s="152"/>
      <c r="H483" s="152"/>
      <c r="I483" s="152"/>
      <c r="J483" s="152"/>
      <c r="K483" s="152"/>
      <c r="L483" s="152"/>
      <c r="M483" s="152"/>
      <c r="N483" s="152"/>
      <c r="O483" s="7"/>
      <c r="P483" s="197"/>
      <c r="Q483" s="103"/>
      <c r="S483" s="7"/>
      <c r="T483" s="7"/>
      <c r="U483" s="7"/>
      <c r="V483" s="7"/>
    </row>
    <row r="484" spans="2:22" ht="12.5">
      <c r="B484" s="152"/>
      <c r="C484" s="152"/>
      <c r="D484" s="152"/>
      <c r="E484" s="152"/>
      <c r="F484" s="152"/>
      <c r="G484" s="152"/>
      <c r="H484" s="152"/>
      <c r="I484" s="152"/>
      <c r="J484" s="152"/>
      <c r="K484" s="152"/>
      <c r="L484" s="152"/>
      <c r="M484" s="152"/>
      <c r="N484" s="152"/>
      <c r="O484" s="7"/>
      <c r="P484" s="197"/>
      <c r="Q484" s="103"/>
      <c r="S484" s="7"/>
      <c r="T484" s="7"/>
      <c r="U484" s="7"/>
      <c r="V484" s="7"/>
    </row>
    <row r="485" spans="2:22" ht="12.5">
      <c r="B485" s="152"/>
      <c r="C485" s="152"/>
      <c r="D485" s="152"/>
      <c r="E485" s="152"/>
      <c r="F485" s="152"/>
      <c r="G485" s="152"/>
      <c r="H485" s="152"/>
      <c r="I485" s="152"/>
      <c r="J485" s="152"/>
      <c r="K485" s="152"/>
      <c r="L485" s="152"/>
      <c r="M485" s="152"/>
      <c r="N485" s="152"/>
      <c r="O485" s="7"/>
      <c r="P485" s="197"/>
      <c r="Q485" s="103"/>
      <c r="S485" s="7"/>
      <c r="T485" s="7"/>
      <c r="U485" s="7"/>
      <c r="V485" s="7"/>
    </row>
    <row r="486" spans="2:22" ht="12.5">
      <c r="B486" s="152"/>
      <c r="C486" s="152"/>
      <c r="D486" s="152"/>
      <c r="E486" s="152"/>
      <c r="F486" s="152"/>
      <c r="G486" s="152"/>
      <c r="H486" s="152"/>
      <c r="I486" s="152"/>
      <c r="J486" s="152"/>
      <c r="K486" s="152"/>
      <c r="L486" s="152"/>
      <c r="M486" s="152"/>
      <c r="N486" s="152"/>
      <c r="O486" s="7"/>
      <c r="P486" s="197"/>
      <c r="Q486" s="103"/>
      <c r="S486" s="7"/>
      <c r="T486" s="7"/>
      <c r="U486" s="7"/>
      <c r="V486" s="7"/>
    </row>
    <row r="487" spans="2:22" ht="12.5">
      <c r="B487" s="152"/>
      <c r="C487" s="152"/>
      <c r="D487" s="152"/>
      <c r="E487" s="152"/>
      <c r="F487" s="152"/>
      <c r="G487" s="152"/>
      <c r="H487" s="152"/>
      <c r="I487" s="152"/>
      <c r="J487" s="152"/>
      <c r="K487" s="152"/>
      <c r="L487" s="152"/>
      <c r="M487" s="152"/>
      <c r="N487" s="152"/>
      <c r="O487" s="7"/>
      <c r="P487" s="197"/>
      <c r="Q487" s="103"/>
      <c r="S487" s="7"/>
      <c r="T487" s="7"/>
      <c r="U487" s="7"/>
      <c r="V487" s="7"/>
    </row>
    <row r="488" spans="2:22" ht="12.5">
      <c r="B488" s="152"/>
      <c r="C488" s="152"/>
      <c r="D488" s="152"/>
      <c r="E488" s="152"/>
      <c r="F488" s="152"/>
      <c r="G488" s="152"/>
      <c r="H488" s="152"/>
      <c r="I488" s="152"/>
      <c r="J488" s="152"/>
      <c r="K488" s="152"/>
      <c r="L488" s="152"/>
      <c r="M488" s="152"/>
      <c r="N488" s="152"/>
      <c r="O488" s="7"/>
      <c r="P488" s="197"/>
      <c r="Q488" s="103"/>
      <c r="S488" s="7"/>
      <c r="T488" s="7"/>
      <c r="U488" s="7"/>
      <c r="V488" s="7"/>
    </row>
    <row r="489" spans="2:22" ht="12.5">
      <c r="B489" s="152"/>
      <c r="C489" s="152"/>
      <c r="D489" s="152"/>
      <c r="E489" s="152"/>
      <c r="F489" s="152"/>
      <c r="G489" s="152"/>
      <c r="H489" s="152"/>
      <c r="I489" s="152"/>
      <c r="J489" s="152"/>
      <c r="K489" s="152"/>
      <c r="L489" s="152"/>
      <c r="M489" s="152"/>
      <c r="N489" s="152"/>
      <c r="O489" s="7"/>
      <c r="P489" s="197"/>
      <c r="Q489" s="103"/>
      <c r="S489" s="7"/>
      <c r="T489" s="7"/>
      <c r="U489" s="7"/>
      <c r="V489" s="7"/>
    </row>
    <row r="490" spans="2:22" ht="12.5">
      <c r="B490" s="152"/>
      <c r="C490" s="152"/>
      <c r="D490" s="152"/>
      <c r="E490" s="152"/>
      <c r="F490" s="152"/>
      <c r="G490" s="152"/>
      <c r="H490" s="152"/>
      <c r="I490" s="152"/>
      <c r="J490" s="152"/>
      <c r="K490" s="152"/>
      <c r="L490" s="152"/>
      <c r="M490" s="152"/>
      <c r="N490" s="152"/>
      <c r="O490" s="7"/>
      <c r="P490" s="197"/>
      <c r="Q490" s="103"/>
      <c r="S490" s="7"/>
      <c r="T490" s="7"/>
      <c r="U490" s="7"/>
      <c r="V490" s="7"/>
    </row>
    <row r="491" spans="2:22" ht="12.5">
      <c r="B491" s="152"/>
      <c r="C491" s="152"/>
      <c r="D491" s="152"/>
      <c r="E491" s="152"/>
      <c r="F491" s="152"/>
      <c r="G491" s="152"/>
      <c r="H491" s="152"/>
      <c r="I491" s="152"/>
      <c r="J491" s="152"/>
      <c r="K491" s="152"/>
      <c r="L491" s="152"/>
      <c r="M491" s="152"/>
      <c r="N491" s="152"/>
      <c r="O491" s="7"/>
      <c r="P491" s="197"/>
      <c r="Q491" s="103"/>
      <c r="S491" s="7"/>
      <c r="T491" s="7"/>
      <c r="U491" s="7"/>
      <c r="V491" s="7"/>
    </row>
    <row r="492" spans="2:22" ht="12.5">
      <c r="B492" s="152"/>
      <c r="C492" s="152"/>
      <c r="D492" s="152"/>
      <c r="E492" s="152"/>
      <c r="F492" s="152"/>
      <c r="G492" s="152"/>
      <c r="H492" s="152"/>
      <c r="I492" s="152"/>
      <c r="J492" s="152"/>
      <c r="K492" s="152"/>
      <c r="L492" s="152"/>
      <c r="M492" s="152"/>
      <c r="N492" s="152"/>
      <c r="O492" s="7"/>
      <c r="P492" s="197"/>
      <c r="Q492" s="103"/>
      <c r="S492" s="7"/>
      <c r="T492" s="7"/>
      <c r="U492" s="7"/>
      <c r="V492" s="7"/>
    </row>
    <row r="493" spans="2:22" ht="12.5">
      <c r="B493" s="152"/>
      <c r="C493" s="152"/>
      <c r="D493" s="152"/>
      <c r="E493" s="152"/>
      <c r="F493" s="152"/>
      <c r="G493" s="152"/>
      <c r="H493" s="152"/>
      <c r="I493" s="152"/>
      <c r="J493" s="152"/>
      <c r="K493" s="152"/>
      <c r="L493" s="152"/>
      <c r="M493" s="152"/>
      <c r="N493" s="152"/>
      <c r="O493" s="7"/>
      <c r="P493" s="197"/>
      <c r="Q493" s="103"/>
      <c r="S493" s="7"/>
      <c r="T493" s="7"/>
      <c r="U493" s="7"/>
      <c r="V493" s="7"/>
    </row>
    <row r="494" spans="2:22" ht="12.5">
      <c r="B494" s="152"/>
      <c r="C494" s="152"/>
      <c r="D494" s="152"/>
      <c r="E494" s="152"/>
      <c r="F494" s="152"/>
      <c r="G494" s="152"/>
      <c r="H494" s="152"/>
      <c r="I494" s="152"/>
      <c r="J494" s="152"/>
      <c r="K494" s="152"/>
      <c r="L494" s="152"/>
      <c r="M494" s="152"/>
      <c r="N494" s="152"/>
      <c r="O494" s="7"/>
      <c r="P494" s="197"/>
      <c r="Q494" s="103"/>
      <c r="S494" s="7"/>
      <c r="T494" s="7"/>
      <c r="U494" s="7"/>
      <c r="V494" s="7"/>
    </row>
    <row r="495" spans="2:22" ht="12.5">
      <c r="B495" s="152"/>
      <c r="C495" s="152"/>
      <c r="D495" s="152"/>
      <c r="E495" s="152"/>
      <c r="F495" s="152"/>
      <c r="G495" s="152"/>
      <c r="H495" s="152"/>
      <c r="I495" s="152"/>
      <c r="J495" s="152"/>
      <c r="K495" s="152"/>
      <c r="L495" s="152"/>
      <c r="M495" s="152"/>
      <c r="N495" s="152"/>
      <c r="O495" s="7"/>
      <c r="P495" s="197"/>
      <c r="Q495" s="103"/>
      <c r="S495" s="7"/>
      <c r="T495" s="7"/>
      <c r="U495" s="7"/>
      <c r="V495" s="7"/>
    </row>
    <row r="496" spans="2:22" ht="12.5">
      <c r="B496" s="152"/>
      <c r="C496" s="152"/>
      <c r="D496" s="152"/>
      <c r="E496" s="152"/>
      <c r="F496" s="152"/>
      <c r="G496" s="152"/>
      <c r="H496" s="152"/>
      <c r="I496" s="152"/>
      <c r="J496" s="152"/>
      <c r="K496" s="152"/>
      <c r="L496" s="152"/>
      <c r="M496" s="152"/>
      <c r="N496" s="152"/>
      <c r="O496" s="7"/>
      <c r="P496" s="197"/>
      <c r="Q496" s="103"/>
      <c r="S496" s="7"/>
      <c r="T496" s="7"/>
      <c r="U496" s="7"/>
      <c r="V496" s="7"/>
    </row>
    <row r="497" spans="2:22" ht="12.5">
      <c r="B497" s="152"/>
      <c r="C497" s="152"/>
      <c r="D497" s="152"/>
      <c r="E497" s="152"/>
      <c r="F497" s="152"/>
      <c r="G497" s="152"/>
      <c r="H497" s="152"/>
      <c r="I497" s="152"/>
      <c r="J497" s="152"/>
      <c r="K497" s="152"/>
      <c r="L497" s="152"/>
      <c r="M497" s="152"/>
      <c r="N497" s="152"/>
      <c r="O497" s="7"/>
      <c r="P497" s="197"/>
      <c r="Q497" s="103"/>
      <c r="S497" s="7"/>
      <c r="T497" s="7"/>
      <c r="U497" s="7"/>
      <c r="V497" s="7"/>
    </row>
    <row r="498" spans="2:22" ht="12.5">
      <c r="B498" s="152"/>
      <c r="C498" s="152"/>
      <c r="D498" s="152"/>
      <c r="E498" s="152"/>
      <c r="F498" s="152"/>
      <c r="G498" s="152"/>
      <c r="H498" s="152"/>
      <c r="I498" s="152"/>
      <c r="J498" s="152"/>
      <c r="K498" s="152"/>
      <c r="L498" s="152"/>
      <c r="M498" s="152"/>
      <c r="N498" s="152"/>
      <c r="O498" s="7"/>
      <c r="P498" s="197"/>
      <c r="Q498" s="103"/>
      <c r="S498" s="7"/>
      <c r="T498" s="7"/>
      <c r="U498" s="7"/>
      <c r="V498" s="7"/>
    </row>
    <row r="499" spans="2:22" ht="12.5">
      <c r="B499" s="152"/>
      <c r="C499" s="152"/>
      <c r="D499" s="152"/>
      <c r="E499" s="152"/>
      <c r="F499" s="152"/>
      <c r="G499" s="152"/>
      <c r="H499" s="152"/>
      <c r="I499" s="152"/>
      <c r="J499" s="152"/>
      <c r="K499" s="152"/>
      <c r="L499" s="152"/>
      <c r="M499" s="152"/>
      <c r="N499" s="152"/>
      <c r="O499" s="7"/>
      <c r="P499" s="197"/>
      <c r="Q499" s="103"/>
      <c r="S499" s="7"/>
      <c r="T499" s="7"/>
      <c r="U499" s="7"/>
      <c r="V499" s="7"/>
    </row>
    <row r="500" spans="2:22" ht="12.5">
      <c r="B500" s="152"/>
      <c r="C500" s="152"/>
      <c r="D500" s="152"/>
      <c r="E500" s="152"/>
      <c r="F500" s="152"/>
      <c r="G500" s="152"/>
      <c r="H500" s="152"/>
      <c r="I500" s="152"/>
      <c r="J500" s="152"/>
      <c r="K500" s="152"/>
      <c r="L500" s="152"/>
      <c r="M500" s="152"/>
      <c r="N500" s="152"/>
      <c r="O500" s="7"/>
      <c r="P500" s="197"/>
      <c r="Q500" s="103"/>
      <c r="S500" s="7"/>
      <c r="T500" s="7"/>
      <c r="U500" s="7"/>
      <c r="V500" s="7"/>
    </row>
    <row r="501" spans="2:22" ht="12.5">
      <c r="B501" s="152"/>
      <c r="C501" s="152"/>
      <c r="D501" s="152"/>
      <c r="E501" s="152"/>
      <c r="F501" s="152"/>
      <c r="G501" s="152"/>
      <c r="H501" s="152"/>
      <c r="I501" s="152"/>
      <c r="J501" s="152"/>
      <c r="K501" s="152"/>
      <c r="L501" s="152"/>
      <c r="M501" s="152"/>
      <c r="N501" s="152"/>
      <c r="O501" s="7"/>
      <c r="P501" s="197"/>
      <c r="Q501" s="103"/>
      <c r="S501" s="7"/>
      <c r="T501" s="7"/>
      <c r="U501" s="7"/>
      <c r="V501" s="7"/>
    </row>
    <row r="502" spans="2:22" ht="12.5">
      <c r="B502" s="152"/>
      <c r="C502" s="152"/>
      <c r="D502" s="152"/>
      <c r="E502" s="152"/>
      <c r="F502" s="152"/>
      <c r="G502" s="152"/>
      <c r="H502" s="152"/>
      <c r="I502" s="152"/>
      <c r="J502" s="152"/>
      <c r="K502" s="152"/>
      <c r="L502" s="152"/>
      <c r="M502" s="152"/>
      <c r="N502" s="152"/>
      <c r="O502" s="7"/>
      <c r="P502" s="197"/>
      <c r="Q502" s="103"/>
      <c r="S502" s="7"/>
      <c r="T502" s="7"/>
      <c r="U502" s="7"/>
      <c r="V502" s="7"/>
    </row>
    <row r="503" spans="2:22" ht="12.5">
      <c r="B503" s="152"/>
      <c r="C503" s="152"/>
      <c r="D503" s="152"/>
      <c r="E503" s="152"/>
      <c r="F503" s="152"/>
      <c r="G503" s="152"/>
      <c r="H503" s="152"/>
      <c r="I503" s="152"/>
      <c r="J503" s="152"/>
      <c r="K503" s="152"/>
      <c r="L503" s="152"/>
      <c r="M503" s="152"/>
      <c r="N503" s="152"/>
      <c r="O503" s="7"/>
      <c r="P503" s="197"/>
      <c r="Q503" s="103"/>
      <c r="S503" s="7"/>
      <c r="T503" s="7"/>
      <c r="U503" s="7"/>
      <c r="V503" s="7"/>
    </row>
    <row r="504" spans="2:22" ht="12.5">
      <c r="B504" s="152"/>
      <c r="C504" s="152"/>
      <c r="D504" s="152"/>
      <c r="E504" s="152"/>
      <c r="F504" s="152"/>
      <c r="G504" s="152"/>
      <c r="H504" s="152"/>
      <c r="I504" s="152"/>
      <c r="J504" s="152"/>
      <c r="K504" s="152"/>
      <c r="L504" s="152"/>
      <c r="M504" s="152"/>
      <c r="N504" s="152"/>
      <c r="O504" s="7"/>
      <c r="P504" s="197"/>
      <c r="Q504" s="103"/>
      <c r="S504" s="7"/>
      <c r="T504" s="7"/>
      <c r="U504" s="7"/>
      <c r="V504" s="7"/>
    </row>
    <row r="505" spans="2:22" ht="12.5">
      <c r="B505" s="152"/>
      <c r="C505" s="152"/>
      <c r="D505" s="152"/>
      <c r="E505" s="152"/>
      <c r="F505" s="152"/>
      <c r="G505" s="152"/>
      <c r="H505" s="152"/>
      <c r="I505" s="152"/>
      <c r="J505" s="152"/>
      <c r="K505" s="152"/>
      <c r="L505" s="152"/>
      <c r="M505" s="152"/>
      <c r="N505" s="152"/>
      <c r="O505" s="7"/>
      <c r="P505" s="197"/>
      <c r="Q505" s="103"/>
      <c r="S505" s="7"/>
      <c r="T505" s="7"/>
      <c r="U505" s="7"/>
      <c r="V505" s="7"/>
    </row>
    <row r="506" spans="2:22" ht="12.5">
      <c r="B506" s="152"/>
      <c r="C506" s="152"/>
      <c r="D506" s="152"/>
      <c r="E506" s="152"/>
      <c r="F506" s="152"/>
      <c r="G506" s="152"/>
      <c r="H506" s="152"/>
      <c r="I506" s="152"/>
      <c r="J506" s="152"/>
      <c r="K506" s="152"/>
      <c r="L506" s="152"/>
      <c r="M506" s="152"/>
      <c r="N506" s="152"/>
      <c r="O506" s="7"/>
      <c r="P506" s="197"/>
      <c r="Q506" s="103"/>
      <c r="S506" s="7"/>
      <c r="T506" s="7"/>
      <c r="U506" s="7"/>
      <c r="V506" s="7"/>
    </row>
    <row r="507" spans="2:22" ht="12.5">
      <c r="B507" s="152"/>
      <c r="C507" s="152"/>
      <c r="D507" s="152"/>
      <c r="E507" s="152"/>
      <c r="F507" s="152"/>
      <c r="G507" s="152"/>
      <c r="H507" s="152"/>
      <c r="I507" s="152"/>
      <c r="J507" s="152"/>
      <c r="K507" s="152"/>
      <c r="L507" s="152"/>
      <c r="M507" s="152"/>
      <c r="N507" s="152"/>
      <c r="O507" s="7"/>
      <c r="P507" s="197"/>
      <c r="Q507" s="103"/>
      <c r="S507" s="7"/>
      <c r="T507" s="7"/>
      <c r="U507" s="7"/>
      <c r="V507" s="7"/>
    </row>
    <row r="508" spans="2:22" ht="12.5">
      <c r="B508" s="152"/>
      <c r="C508" s="152"/>
      <c r="D508" s="152"/>
      <c r="E508" s="152"/>
      <c r="F508" s="152"/>
      <c r="G508" s="152"/>
      <c r="H508" s="152"/>
      <c r="I508" s="152"/>
      <c r="J508" s="152"/>
      <c r="K508" s="152"/>
      <c r="L508" s="152"/>
      <c r="M508" s="152"/>
      <c r="N508" s="152"/>
      <c r="O508" s="7"/>
      <c r="P508" s="197"/>
      <c r="Q508" s="103"/>
      <c r="S508" s="7"/>
      <c r="T508" s="7"/>
      <c r="U508" s="7"/>
      <c r="V508" s="7"/>
    </row>
    <row r="509" spans="2:22" ht="12.5">
      <c r="B509" s="152"/>
      <c r="C509" s="152"/>
      <c r="D509" s="152"/>
      <c r="E509" s="152"/>
      <c r="F509" s="152"/>
      <c r="G509" s="152"/>
      <c r="H509" s="152"/>
      <c r="I509" s="152"/>
      <c r="J509" s="152"/>
      <c r="K509" s="152"/>
      <c r="L509" s="152"/>
      <c r="M509" s="152"/>
      <c r="N509" s="152"/>
      <c r="O509" s="7"/>
      <c r="P509" s="197"/>
      <c r="Q509" s="103"/>
      <c r="S509" s="7"/>
      <c r="T509" s="7"/>
      <c r="U509" s="7"/>
      <c r="V509" s="7"/>
    </row>
    <row r="510" spans="2:22" ht="12.5">
      <c r="B510" s="152"/>
      <c r="C510" s="152"/>
      <c r="D510" s="152"/>
      <c r="E510" s="152"/>
      <c r="F510" s="152"/>
      <c r="G510" s="152"/>
      <c r="H510" s="152"/>
      <c r="I510" s="152"/>
      <c r="J510" s="152"/>
      <c r="K510" s="152"/>
      <c r="L510" s="152"/>
      <c r="M510" s="152"/>
      <c r="N510" s="152"/>
      <c r="O510" s="7"/>
      <c r="P510" s="197"/>
      <c r="Q510" s="103"/>
      <c r="S510" s="7"/>
      <c r="T510" s="7"/>
      <c r="U510" s="7"/>
      <c r="V510" s="7"/>
    </row>
    <row r="511" spans="2:22" ht="12.5">
      <c r="B511" s="152"/>
      <c r="C511" s="152"/>
      <c r="D511" s="152"/>
      <c r="E511" s="152"/>
      <c r="F511" s="152"/>
      <c r="G511" s="152"/>
      <c r="H511" s="152"/>
      <c r="I511" s="152"/>
      <c r="J511" s="152"/>
      <c r="K511" s="152"/>
      <c r="L511" s="152"/>
      <c r="M511" s="152"/>
      <c r="N511" s="152"/>
      <c r="O511" s="7"/>
      <c r="P511" s="197"/>
      <c r="Q511" s="103"/>
      <c r="S511" s="7"/>
      <c r="T511" s="7"/>
      <c r="U511" s="7"/>
      <c r="V511" s="7"/>
    </row>
    <row r="512" spans="2:22" ht="12.5">
      <c r="B512" s="152"/>
      <c r="C512" s="152"/>
      <c r="D512" s="152"/>
      <c r="E512" s="152"/>
      <c r="F512" s="152"/>
      <c r="G512" s="152"/>
      <c r="H512" s="152"/>
      <c r="I512" s="152"/>
      <c r="J512" s="152"/>
      <c r="K512" s="152"/>
      <c r="L512" s="152"/>
      <c r="M512" s="152"/>
      <c r="N512" s="152"/>
      <c r="O512" s="7"/>
      <c r="P512" s="197"/>
      <c r="Q512" s="103"/>
      <c r="S512" s="7"/>
      <c r="T512" s="7"/>
      <c r="U512" s="7"/>
      <c r="V512" s="7"/>
    </row>
    <row r="513" spans="2:22" ht="12.5">
      <c r="B513" s="152"/>
      <c r="C513" s="152"/>
      <c r="D513" s="152"/>
      <c r="E513" s="152"/>
      <c r="F513" s="152"/>
      <c r="G513" s="152"/>
      <c r="H513" s="152"/>
      <c r="I513" s="152"/>
      <c r="J513" s="152"/>
      <c r="K513" s="152"/>
      <c r="L513" s="152"/>
      <c r="M513" s="152"/>
      <c r="N513" s="152"/>
      <c r="O513" s="7"/>
      <c r="P513" s="197"/>
      <c r="Q513" s="103"/>
      <c r="S513" s="7"/>
      <c r="T513" s="7"/>
      <c r="U513" s="7"/>
      <c r="V513" s="7"/>
    </row>
    <row r="514" spans="2:22" ht="12.5">
      <c r="B514" s="152"/>
      <c r="C514" s="152"/>
      <c r="D514" s="152"/>
      <c r="E514" s="152"/>
      <c r="F514" s="152"/>
      <c r="G514" s="152"/>
      <c r="H514" s="152"/>
      <c r="I514" s="152"/>
      <c r="J514" s="152"/>
      <c r="K514" s="152"/>
      <c r="L514" s="152"/>
      <c r="M514" s="152"/>
      <c r="N514" s="152"/>
      <c r="O514" s="7"/>
      <c r="P514" s="197"/>
      <c r="Q514" s="103"/>
      <c r="S514" s="7"/>
      <c r="T514" s="7"/>
      <c r="U514" s="7"/>
      <c r="V514" s="7"/>
    </row>
    <row r="515" spans="2:22" ht="12.5">
      <c r="B515" s="152"/>
      <c r="C515" s="152"/>
      <c r="D515" s="152"/>
      <c r="E515" s="152"/>
      <c r="F515" s="152"/>
      <c r="G515" s="152"/>
      <c r="H515" s="152"/>
      <c r="I515" s="152"/>
      <c r="J515" s="152"/>
      <c r="K515" s="152"/>
      <c r="L515" s="152"/>
      <c r="M515" s="152"/>
      <c r="N515" s="152"/>
      <c r="O515" s="7"/>
      <c r="P515" s="197"/>
      <c r="Q515" s="103"/>
      <c r="S515" s="7"/>
      <c r="T515" s="7"/>
      <c r="U515" s="7"/>
      <c r="V515" s="7"/>
    </row>
    <row r="516" spans="2:22" ht="12.5">
      <c r="B516" s="152"/>
      <c r="C516" s="152"/>
      <c r="D516" s="152"/>
      <c r="E516" s="152"/>
      <c r="F516" s="152"/>
      <c r="G516" s="152"/>
      <c r="H516" s="152"/>
      <c r="I516" s="152"/>
      <c r="J516" s="152"/>
      <c r="K516" s="152"/>
      <c r="L516" s="152"/>
      <c r="M516" s="152"/>
      <c r="N516" s="152"/>
      <c r="O516" s="7"/>
      <c r="P516" s="197"/>
      <c r="Q516" s="103"/>
      <c r="S516" s="7"/>
      <c r="T516" s="7"/>
      <c r="U516" s="7"/>
      <c r="V516" s="7"/>
    </row>
    <row r="517" spans="2:22" ht="12.5">
      <c r="B517" s="152"/>
      <c r="C517" s="152"/>
      <c r="D517" s="152"/>
      <c r="E517" s="152"/>
      <c r="F517" s="152"/>
      <c r="G517" s="152"/>
      <c r="H517" s="152"/>
      <c r="I517" s="152"/>
      <c r="J517" s="152"/>
      <c r="K517" s="152"/>
      <c r="L517" s="152"/>
      <c r="M517" s="152"/>
      <c r="N517" s="152"/>
      <c r="O517" s="7"/>
      <c r="P517" s="197"/>
      <c r="Q517" s="103"/>
      <c r="S517" s="7"/>
      <c r="T517" s="7"/>
      <c r="U517" s="7"/>
      <c r="V517" s="7"/>
    </row>
    <row r="518" spans="2:22" ht="12.5">
      <c r="B518" s="152"/>
      <c r="C518" s="152"/>
      <c r="D518" s="152"/>
      <c r="E518" s="152"/>
      <c r="F518" s="152"/>
      <c r="G518" s="152"/>
      <c r="H518" s="152"/>
      <c r="I518" s="152"/>
      <c r="J518" s="152"/>
      <c r="K518" s="152"/>
      <c r="L518" s="152"/>
      <c r="M518" s="152"/>
      <c r="N518" s="152"/>
      <c r="O518" s="7"/>
      <c r="P518" s="197"/>
      <c r="Q518" s="103"/>
      <c r="S518" s="7"/>
      <c r="T518" s="7"/>
      <c r="U518" s="7"/>
      <c r="V518" s="7"/>
    </row>
    <row r="519" spans="2:22" ht="12.5">
      <c r="B519" s="152"/>
      <c r="C519" s="152"/>
      <c r="D519" s="152"/>
      <c r="E519" s="152"/>
      <c r="F519" s="152"/>
      <c r="G519" s="152"/>
      <c r="H519" s="152"/>
      <c r="I519" s="152"/>
      <c r="J519" s="152"/>
      <c r="K519" s="152"/>
      <c r="L519" s="152"/>
      <c r="M519" s="152"/>
      <c r="N519" s="152"/>
      <c r="O519" s="7"/>
      <c r="P519" s="197"/>
      <c r="Q519" s="103"/>
      <c r="S519" s="7"/>
      <c r="T519" s="7"/>
      <c r="U519" s="7"/>
      <c r="V519" s="7"/>
    </row>
    <row r="520" spans="2:22" ht="12.5">
      <c r="B520" s="152"/>
      <c r="C520" s="152"/>
      <c r="D520" s="152"/>
      <c r="E520" s="152"/>
      <c r="F520" s="152"/>
      <c r="G520" s="152"/>
      <c r="H520" s="152"/>
      <c r="I520" s="152"/>
      <c r="J520" s="152"/>
      <c r="K520" s="152"/>
      <c r="L520" s="152"/>
      <c r="M520" s="152"/>
      <c r="N520" s="152"/>
      <c r="O520" s="7"/>
      <c r="P520" s="197"/>
      <c r="Q520" s="103"/>
      <c r="S520" s="7"/>
      <c r="T520" s="7"/>
      <c r="U520" s="7"/>
      <c r="V520" s="7"/>
    </row>
    <row r="521" spans="2:22" ht="12.5">
      <c r="B521" s="152"/>
      <c r="C521" s="152"/>
      <c r="D521" s="152"/>
      <c r="E521" s="152"/>
      <c r="F521" s="152"/>
      <c r="G521" s="152"/>
      <c r="H521" s="152"/>
      <c r="I521" s="152"/>
      <c r="J521" s="152"/>
      <c r="K521" s="152"/>
      <c r="L521" s="152"/>
      <c r="M521" s="152"/>
      <c r="N521" s="152"/>
      <c r="O521" s="7"/>
      <c r="P521" s="197"/>
      <c r="Q521" s="103"/>
      <c r="S521" s="7"/>
      <c r="T521" s="7"/>
      <c r="U521" s="7"/>
      <c r="V521" s="7"/>
    </row>
    <row r="522" spans="2:22" ht="12.5">
      <c r="B522" s="152"/>
      <c r="C522" s="152"/>
      <c r="D522" s="152"/>
      <c r="E522" s="152"/>
      <c r="F522" s="152"/>
      <c r="G522" s="152"/>
      <c r="H522" s="152"/>
      <c r="I522" s="152"/>
      <c r="J522" s="152"/>
      <c r="K522" s="152"/>
      <c r="L522" s="152"/>
      <c r="M522" s="152"/>
      <c r="N522" s="152"/>
      <c r="O522" s="7"/>
      <c r="P522" s="197"/>
      <c r="Q522" s="103"/>
      <c r="S522" s="7"/>
      <c r="T522" s="7"/>
      <c r="U522" s="7"/>
      <c r="V522" s="7"/>
    </row>
    <row r="523" spans="2:22" ht="12.5">
      <c r="B523" s="152"/>
      <c r="C523" s="152"/>
      <c r="D523" s="152"/>
      <c r="E523" s="152"/>
      <c r="F523" s="152"/>
      <c r="G523" s="152"/>
      <c r="H523" s="152"/>
      <c r="I523" s="152"/>
      <c r="J523" s="152"/>
      <c r="K523" s="152"/>
      <c r="L523" s="152"/>
      <c r="M523" s="152"/>
      <c r="N523" s="152"/>
      <c r="O523" s="7"/>
      <c r="P523" s="197"/>
      <c r="Q523" s="103"/>
      <c r="S523" s="7"/>
      <c r="T523" s="7"/>
      <c r="U523" s="7"/>
      <c r="V523" s="7"/>
    </row>
    <row r="524" spans="2:22" ht="12.5">
      <c r="B524" s="152"/>
      <c r="C524" s="152"/>
      <c r="D524" s="152"/>
      <c r="E524" s="152"/>
      <c r="F524" s="152"/>
      <c r="G524" s="152"/>
      <c r="H524" s="152"/>
      <c r="I524" s="152"/>
      <c r="J524" s="152"/>
      <c r="K524" s="152"/>
      <c r="L524" s="152"/>
      <c r="M524" s="152"/>
      <c r="N524" s="152"/>
      <c r="O524" s="7"/>
      <c r="P524" s="197"/>
      <c r="Q524" s="103"/>
      <c r="S524" s="7"/>
      <c r="T524" s="7"/>
      <c r="U524" s="7"/>
      <c r="V524" s="7"/>
    </row>
    <row r="525" spans="2:22" ht="12.5">
      <c r="B525" s="152"/>
      <c r="C525" s="152"/>
      <c r="D525" s="152"/>
      <c r="E525" s="152"/>
      <c r="F525" s="152"/>
      <c r="G525" s="152"/>
      <c r="H525" s="152"/>
      <c r="I525" s="152"/>
      <c r="J525" s="152"/>
      <c r="K525" s="152"/>
      <c r="L525" s="152"/>
      <c r="M525" s="152"/>
      <c r="N525" s="152"/>
      <c r="O525" s="7"/>
      <c r="P525" s="197"/>
      <c r="Q525" s="103"/>
      <c r="S525" s="7"/>
      <c r="T525" s="7"/>
      <c r="U525" s="7"/>
      <c r="V525" s="7"/>
    </row>
    <row r="526" spans="2:22" ht="12.5">
      <c r="B526" s="152"/>
      <c r="C526" s="152"/>
      <c r="D526" s="152"/>
      <c r="E526" s="152"/>
      <c r="F526" s="152"/>
      <c r="G526" s="152"/>
      <c r="H526" s="152"/>
      <c r="I526" s="152"/>
      <c r="J526" s="152"/>
      <c r="K526" s="152"/>
      <c r="L526" s="152"/>
      <c r="M526" s="152"/>
      <c r="N526" s="152"/>
      <c r="O526" s="7"/>
      <c r="P526" s="197"/>
      <c r="Q526" s="103"/>
      <c r="S526" s="7"/>
      <c r="T526" s="7"/>
      <c r="U526" s="7"/>
      <c r="V526" s="7"/>
    </row>
    <row r="527" spans="2:22" ht="12.5">
      <c r="B527" s="152"/>
      <c r="C527" s="152"/>
      <c r="D527" s="152"/>
      <c r="E527" s="152"/>
      <c r="F527" s="152"/>
      <c r="G527" s="152"/>
      <c r="H527" s="152"/>
      <c r="I527" s="152"/>
      <c r="J527" s="152"/>
      <c r="K527" s="152"/>
      <c r="L527" s="152"/>
      <c r="M527" s="152"/>
      <c r="N527" s="152"/>
      <c r="O527" s="7"/>
      <c r="P527" s="197"/>
      <c r="Q527" s="103"/>
      <c r="S527" s="7"/>
      <c r="T527" s="7"/>
      <c r="U527" s="7"/>
      <c r="V527" s="7"/>
    </row>
    <row r="528" spans="2:22" ht="12.5">
      <c r="B528" s="152"/>
      <c r="C528" s="152"/>
      <c r="D528" s="152"/>
      <c r="E528" s="152"/>
      <c r="F528" s="152"/>
      <c r="G528" s="152"/>
      <c r="H528" s="152"/>
      <c r="I528" s="152"/>
      <c r="J528" s="152"/>
      <c r="K528" s="152"/>
      <c r="L528" s="152"/>
      <c r="M528" s="152"/>
      <c r="N528" s="152"/>
      <c r="O528" s="7"/>
      <c r="P528" s="197"/>
      <c r="Q528" s="103"/>
      <c r="S528" s="7"/>
      <c r="T528" s="7"/>
      <c r="U528" s="7"/>
      <c r="V528" s="7"/>
    </row>
    <row r="529" spans="2:22" ht="12.5">
      <c r="B529" s="152"/>
      <c r="C529" s="152"/>
      <c r="D529" s="152"/>
      <c r="E529" s="152"/>
      <c r="F529" s="152"/>
      <c r="G529" s="152"/>
      <c r="H529" s="152"/>
      <c r="I529" s="152"/>
      <c r="J529" s="152"/>
      <c r="K529" s="152"/>
      <c r="L529" s="152"/>
      <c r="M529" s="152"/>
      <c r="N529" s="152"/>
      <c r="O529" s="7"/>
      <c r="P529" s="197"/>
      <c r="Q529" s="103"/>
      <c r="S529" s="7"/>
      <c r="T529" s="7"/>
      <c r="U529" s="7"/>
      <c r="V529" s="7"/>
    </row>
    <row r="530" spans="2:22" ht="12.5">
      <c r="B530" s="152"/>
      <c r="C530" s="152"/>
      <c r="D530" s="152"/>
      <c r="E530" s="152"/>
      <c r="F530" s="152"/>
      <c r="G530" s="152"/>
      <c r="H530" s="152"/>
      <c r="I530" s="152"/>
      <c r="J530" s="152"/>
      <c r="K530" s="152"/>
      <c r="L530" s="152"/>
      <c r="M530" s="152"/>
      <c r="N530" s="152"/>
      <c r="O530" s="7"/>
      <c r="P530" s="197"/>
      <c r="Q530" s="103"/>
      <c r="S530" s="7"/>
      <c r="T530" s="7"/>
      <c r="U530" s="7"/>
      <c r="V530" s="7"/>
    </row>
    <row r="531" spans="2:22" ht="12.5">
      <c r="B531" s="152"/>
      <c r="C531" s="152"/>
      <c r="D531" s="152"/>
      <c r="E531" s="152"/>
      <c r="F531" s="152"/>
      <c r="G531" s="152"/>
      <c r="H531" s="152"/>
      <c r="I531" s="152"/>
      <c r="J531" s="152"/>
      <c r="K531" s="152"/>
      <c r="L531" s="152"/>
      <c r="M531" s="152"/>
      <c r="N531" s="152"/>
      <c r="O531" s="7"/>
      <c r="P531" s="197"/>
      <c r="Q531" s="103"/>
      <c r="S531" s="7"/>
      <c r="T531" s="7"/>
      <c r="U531" s="7"/>
      <c r="V531" s="7"/>
    </row>
    <row r="532" spans="2:22" ht="12.5">
      <c r="B532" s="152"/>
      <c r="C532" s="152"/>
      <c r="D532" s="152"/>
      <c r="E532" s="152"/>
      <c r="F532" s="152"/>
      <c r="G532" s="152"/>
      <c r="H532" s="152"/>
      <c r="I532" s="152"/>
      <c r="J532" s="152"/>
      <c r="K532" s="152"/>
      <c r="L532" s="152"/>
      <c r="M532" s="152"/>
      <c r="N532" s="152"/>
      <c r="O532" s="7"/>
      <c r="P532" s="197"/>
      <c r="Q532" s="103"/>
      <c r="S532" s="7"/>
      <c r="T532" s="7"/>
      <c r="U532" s="7"/>
      <c r="V532" s="7"/>
    </row>
    <row r="533" spans="2:22" ht="12.5">
      <c r="B533" s="152"/>
      <c r="C533" s="152"/>
      <c r="D533" s="152"/>
      <c r="E533" s="152"/>
      <c r="F533" s="152"/>
      <c r="G533" s="152"/>
      <c r="H533" s="152"/>
      <c r="I533" s="152"/>
      <c r="J533" s="152"/>
      <c r="K533" s="152"/>
      <c r="L533" s="152"/>
      <c r="M533" s="152"/>
      <c r="N533" s="152"/>
      <c r="O533" s="7"/>
      <c r="P533" s="197"/>
      <c r="Q533" s="103"/>
      <c r="S533" s="7"/>
      <c r="T533" s="7"/>
      <c r="U533" s="7"/>
      <c r="V533" s="7"/>
    </row>
    <row r="534" spans="2:22" ht="12.5">
      <c r="B534" s="152"/>
      <c r="C534" s="152"/>
      <c r="D534" s="152"/>
      <c r="E534" s="152"/>
      <c r="F534" s="152"/>
      <c r="G534" s="152"/>
      <c r="H534" s="152"/>
      <c r="I534" s="152"/>
      <c r="J534" s="152"/>
      <c r="K534" s="152"/>
      <c r="L534" s="152"/>
      <c r="M534" s="152"/>
      <c r="N534" s="152"/>
      <c r="O534" s="7"/>
      <c r="P534" s="197"/>
      <c r="Q534" s="103"/>
      <c r="S534" s="7"/>
      <c r="T534" s="7"/>
      <c r="U534" s="7"/>
      <c r="V534" s="7"/>
    </row>
    <row r="535" spans="2:22" ht="12.5">
      <c r="B535" s="152"/>
      <c r="C535" s="152"/>
      <c r="D535" s="152"/>
      <c r="E535" s="152"/>
      <c r="F535" s="152"/>
      <c r="G535" s="152"/>
      <c r="H535" s="152"/>
      <c r="I535" s="152"/>
      <c r="J535" s="152"/>
      <c r="K535" s="152"/>
      <c r="L535" s="152"/>
      <c r="M535" s="152"/>
      <c r="N535" s="152"/>
      <c r="O535" s="7"/>
      <c r="P535" s="197"/>
      <c r="Q535" s="103"/>
      <c r="S535" s="7"/>
      <c r="T535" s="7"/>
      <c r="U535" s="7"/>
      <c r="V535" s="7"/>
    </row>
    <row r="536" spans="2:22" ht="12.5">
      <c r="B536" s="152"/>
      <c r="C536" s="152"/>
      <c r="D536" s="152"/>
      <c r="E536" s="152"/>
      <c r="F536" s="152"/>
      <c r="G536" s="152"/>
      <c r="H536" s="152"/>
      <c r="I536" s="152"/>
      <c r="J536" s="152"/>
      <c r="K536" s="152"/>
      <c r="L536" s="152"/>
      <c r="M536" s="152"/>
      <c r="N536" s="152"/>
      <c r="O536" s="7"/>
      <c r="P536" s="197"/>
      <c r="Q536" s="103"/>
      <c r="S536" s="7"/>
      <c r="T536" s="7"/>
      <c r="U536" s="7"/>
      <c r="V536" s="7"/>
    </row>
    <row r="537" spans="2:22" ht="12.5">
      <c r="B537" s="152"/>
      <c r="C537" s="152"/>
      <c r="D537" s="152"/>
      <c r="E537" s="152"/>
      <c r="F537" s="152"/>
      <c r="G537" s="152"/>
      <c r="H537" s="152"/>
      <c r="I537" s="152"/>
      <c r="J537" s="152"/>
      <c r="K537" s="152"/>
      <c r="L537" s="152"/>
      <c r="M537" s="152"/>
      <c r="N537" s="152"/>
      <c r="O537" s="7"/>
      <c r="P537" s="197"/>
      <c r="Q537" s="103"/>
      <c r="S537" s="7"/>
      <c r="T537" s="7"/>
      <c r="U537" s="7"/>
      <c r="V537" s="7"/>
    </row>
    <row r="538" spans="2:22" ht="12.5">
      <c r="B538" s="152"/>
      <c r="C538" s="152"/>
      <c r="D538" s="152"/>
      <c r="E538" s="152"/>
      <c r="F538" s="152"/>
      <c r="G538" s="152"/>
      <c r="H538" s="152"/>
      <c r="I538" s="152"/>
      <c r="J538" s="152"/>
      <c r="K538" s="152"/>
      <c r="L538" s="152"/>
      <c r="M538" s="152"/>
      <c r="N538" s="152"/>
      <c r="O538" s="7"/>
      <c r="P538" s="197"/>
      <c r="Q538" s="103"/>
      <c r="S538" s="7"/>
      <c r="T538" s="7"/>
      <c r="U538" s="7"/>
      <c r="V538" s="7"/>
    </row>
    <row r="539" spans="2:22" ht="12.5">
      <c r="B539" s="152"/>
      <c r="C539" s="152"/>
      <c r="D539" s="152"/>
      <c r="E539" s="152"/>
      <c r="F539" s="152"/>
      <c r="G539" s="152"/>
      <c r="H539" s="152"/>
      <c r="I539" s="152"/>
      <c r="J539" s="152"/>
      <c r="K539" s="152"/>
      <c r="L539" s="152"/>
      <c r="M539" s="152"/>
      <c r="N539" s="152"/>
      <c r="O539" s="7"/>
      <c r="P539" s="197"/>
      <c r="Q539" s="103"/>
      <c r="S539" s="7"/>
      <c r="T539" s="7"/>
      <c r="U539" s="7"/>
      <c r="V539" s="7"/>
    </row>
    <row r="540" spans="2:22" ht="12.5">
      <c r="B540" s="152"/>
      <c r="C540" s="152"/>
      <c r="D540" s="152"/>
      <c r="E540" s="152"/>
      <c r="F540" s="152"/>
      <c r="G540" s="152"/>
      <c r="H540" s="152"/>
      <c r="I540" s="152"/>
      <c r="J540" s="152"/>
      <c r="K540" s="152"/>
      <c r="L540" s="152"/>
      <c r="M540" s="152"/>
      <c r="N540" s="152"/>
      <c r="O540" s="7"/>
      <c r="P540" s="197"/>
      <c r="Q540" s="103"/>
      <c r="S540" s="7"/>
      <c r="T540" s="7"/>
      <c r="U540" s="7"/>
      <c r="V540" s="7"/>
    </row>
    <row r="541" spans="2:22" ht="12.5">
      <c r="B541" s="152"/>
      <c r="C541" s="152"/>
      <c r="D541" s="152"/>
      <c r="E541" s="152"/>
      <c r="F541" s="152"/>
      <c r="G541" s="152"/>
      <c r="H541" s="152"/>
      <c r="I541" s="152"/>
      <c r="J541" s="152"/>
      <c r="K541" s="152"/>
      <c r="L541" s="152"/>
      <c r="M541" s="152"/>
      <c r="N541" s="152"/>
      <c r="O541" s="7"/>
      <c r="P541" s="197"/>
      <c r="Q541" s="103"/>
      <c r="S541" s="7"/>
      <c r="T541" s="7"/>
      <c r="U541" s="7"/>
      <c r="V541" s="7"/>
    </row>
    <row r="542" spans="2:22" ht="12.5">
      <c r="B542" s="152"/>
      <c r="C542" s="152"/>
      <c r="D542" s="152"/>
      <c r="E542" s="152"/>
      <c r="F542" s="152"/>
      <c r="G542" s="152"/>
      <c r="H542" s="152"/>
      <c r="I542" s="152"/>
      <c r="J542" s="152"/>
      <c r="K542" s="152"/>
      <c r="L542" s="152"/>
      <c r="M542" s="152"/>
      <c r="N542" s="152"/>
      <c r="O542" s="7"/>
      <c r="P542" s="197"/>
      <c r="Q542" s="103"/>
      <c r="S542" s="7"/>
      <c r="T542" s="7"/>
      <c r="U542" s="7"/>
      <c r="V542" s="7"/>
    </row>
    <row r="543" spans="2:22" ht="12.5">
      <c r="B543" s="152"/>
      <c r="C543" s="152"/>
      <c r="D543" s="152"/>
      <c r="E543" s="152"/>
      <c r="F543" s="152"/>
      <c r="G543" s="152"/>
      <c r="H543" s="152"/>
      <c r="I543" s="152"/>
      <c r="J543" s="152"/>
      <c r="K543" s="152"/>
      <c r="L543" s="152"/>
      <c r="M543" s="152"/>
      <c r="N543" s="152"/>
      <c r="O543" s="7"/>
      <c r="P543" s="197"/>
      <c r="Q543" s="103"/>
      <c r="S543" s="7"/>
      <c r="T543" s="7"/>
      <c r="U543" s="7"/>
      <c r="V543" s="7"/>
    </row>
    <row r="544" spans="2:22" ht="12.5">
      <c r="B544" s="152"/>
      <c r="C544" s="152"/>
      <c r="D544" s="152"/>
      <c r="E544" s="152"/>
      <c r="F544" s="152"/>
      <c r="G544" s="152"/>
      <c r="H544" s="152"/>
      <c r="I544" s="152"/>
      <c r="J544" s="152"/>
      <c r="K544" s="152"/>
      <c r="L544" s="152"/>
      <c r="M544" s="152"/>
      <c r="N544" s="152"/>
      <c r="O544" s="7"/>
      <c r="P544" s="197"/>
      <c r="Q544" s="103"/>
      <c r="S544" s="7"/>
      <c r="T544" s="7"/>
      <c r="U544" s="7"/>
      <c r="V544" s="7"/>
    </row>
    <row r="545" spans="2:22" ht="12.5">
      <c r="B545" s="152"/>
      <c r="C545" s="152"/>
      <c r="D545" s="152"/>
      <c r="E545" s="152"/>
      <c r="F545" s="152"/>
      <c r="G545" s="152"/>
      <c r="H545" s="152"/>
      <c r="I545" s="152"/>
      <c r="J545" s="152"/>
      <c r="K545" s="152"/>
      <c r="L545" s="152"/>
      <c r="M545" s="152"/>
      <c r="N545" s="152"/>
      <c r="O545" s="7"/>
      <c r="P545" s="197"/>
      <c r="Q545" s="103"/>
      <c r="S545" s="7"/>
      <c r="T545" s="7"/>
      <c r="U545" s="7"/>
      <c r="V545" s="7"/>
    </row>
    <row r="546" spans="2:22" ht="12.5">
      <c r="B546" s="152"/>
      <c r="C546" s="152"/>
      <c r="D546" s="152"/>
      <c r="E546" s="152"/>
      <c r="F546" s="152"/>
      <c r="G546" s="152"/>
      <c r="H546" s="152"/>
      <c r="I546" s="152"/>
      <c r="J546" s="152"/>
      <c r="K546" s="152"/>
      <c r="L546" s="152"/>
      <c r="M546" s="152"/>
      <c r="N546" s="152"/>
      <c r="O546" s="7"/>
      <c r="P546" s="197"/>
      <c r="Q546" s="103"/>
      <c r="S546" s="7"/>
      <c r="T546" s="7"/>
      <c r="U546" s="7"/>
      <c r="V546" s="7"/>
    </row>
    <row r="547" spans="2:22" ht="12.5">
      <c r="B547" s="152"/>
      <c r="C547" s="152"/>
      <c r="D547" s="152"/>
      <c r="E547" s="152"/>
      <c r="F547" s="152"/>
      <c r="G547" s="152"/>
      <c r="H547" s="152"/>
      <c r="I547" s="152"/>
      <c r="J547" s="152"/>
      <c r="K547" s="152"/>
      <c r="L547" s="152"/>
      <c r="M547" s="152"/>
      <c r="N547" s="152"/>
      <c r="O547" s="7"/>
      <c r="P547" s="197"/>
      <c r="Q547" s="103"/>
      <c r="S547" s="7"/>
      <c r="T547" s="7"/>
      <c r="U547" s="7"/>
      <c r="V547" s="7"/>
    </row>
    <row r="548" spans="2:22" ht="12.5">
      <c r="B548" s="152"/>
      <c r="C548" s="152"/>
      <c r="D548" s="152"/>
      <c r="E548" s="152"/>
      <c r="F548" s="152"/>
      <c r="G548" s="152"/>
      <c r="H548" s="152"/>
      <c r="I548" s="152"/>
      <c r="J548" s="152"/>
      <c r="K548" s="152"/>
      <c r="L548" s="152"/>
      <c r="M548" s="152"/>
      <c r="N548" s="152"/>
      <c r="O548" s="7"/>
      <c r="P548" s="197"/>
      <c r="Q548" s="103"/>
      <c r="S548" s="7"/>
      <c r="T548" s="7"/>
      <c r="U548" s="7"/>
      <c r="V548" s="7"/>
    </row>
    <row r="549" spans="2:22" ht="12.5">
      <c r="B549" s="152"/>
      <c r="C549" s="152"/>
      <c r="D549" s="152"/>
      <c r="E549" s="152"/>
      <c r="F549" s="152"/>
      <c r="G549" s="152"/>
      <c r="H549" s="152"/>
      <c r="I549" s="152"/>
      <c r="J549" s="152"/>
      <c r="K549" s="152"/>
      <c r="L549" s="152"/>
      <c r="M549" s="152"/>
      <c r="N549" s="152"/>
      <c r="O549" s="7"/>
      <c r="P549" s="197"/>
      <c r="Q549" s="103"/>
      <c r="S549" s="7"/>
      <c r="T549" s="7"/>
      <c r="U549" s="7"/>
      <c r="V549" s="7"/>
    </row>
    <row r="550" spans="2:22" ht="12.5">
      <c r="B550" s="152"/>
      <c r="C550" s="152"/>
      <c r="D550" s="152"/>
      <c r="E550" s="152"/>
      <c r="F550" s="152"/>
      <c r="G550" s="152"/>
      <c r="H550" s="152"/>
      <c r="I550" s="152"/>
      <c r="J550" s="152"/>
      <c r="K550" s="152"/>
      <c r="L550" s="152"/>
      <c r="M550" s="152"/>
      <c r="N550" s="152"/>
      <c r="O550" s="7"/>
      <c r="P550" s="197"/>
      <c r="Q550" s="103"/>
      <c r="S550" s="7"/>
      <c r="T550" s="7"/>
      <c r="U550" s="7"/>
      <c r="V550" s="7"/>
    </row>
    <row r="551" spans="2:22" ht="12.5">
      <c r="B551" s="152"/>
      <c r="C551" s="152"/>
      <c r="D551" s="152"/>
      <c r="E551" s="152"/>
      <c r="F551" s="152"/>
      <c r="G551" s="152"/>
      <c r="H551" s="152"/>
      <c r="I551" s="152"/>
      <c r="J551" s="152"/>
      <c r="K551" s="152"/>
      <c r="L551" s="152"/>
      <c r="M551" s="152"/>
      <c r="N551" s="152"/>
      <c r="O551" s="7"/>
      <c r="P551" s="197"/>
      <c r="Q551" s="103"/>
      <c r="S551" s="7"/>
      <c r="T551" s="7"/>
      <c r="U551" s="7"/>
      <c r="V551" s="7"/>
    </row>
    <row r="552" spans="2:22" ht="12.5">
      <c r="B552" s="152"/>
      <c r="C552" s="152"/>
      <c r="D552" s="152"/>
      <c r="E552" s="152"/>
      <c r="F552" s="152"/>
      <c r="G552" s="152"/>
      <c r="H552" s="152"/>
      <c r="I552" s="152"/>
      <c r="J552" s="152"/>
      <c r="K552" s="152"/>
      <c r="L552" s="152"/>
      <c r="M552" s="152"/>
      <c r="N552" s="152"/>
      <c r="O552" s="7"/>
      <c r="P552" s="197"/>
      <c r="Q552" s="103"/>
      <c r="S552" s="7"/>
      <c r="T552" s="7"/>
      <c r="U552" s="7"/>
      <c r="V552" s="7"/>
    </row>
    <row r="553" spans="2:22" ht="12.5">
      <c r="B553" s="152"/>
      <c r="C553" s="152"/>
      <c r="D553" s="152"/>
      <c r="E553" s="152"/>
      <c r="F553" s="152"/>
      <c r="G553" s="152"/>
      <c r="H553" s="152"/>
      <c r="I553" s="152"/>
      <c r="J553" s="152"/>
      <c r="K553" s="152"/>
      <c r="L553" s="152"/>
      <c r="M553" s="152"/>
      <c r="N553" s="152"/>
      <c r="O553" s="7"/>
      <c r="P553" s="197"/>
      <c r="Q553" s="103"/>
      <c r="S553" s="7"/>
      <c r="T553" s="7"/>
      <c r="U553" s="7"/>
      <c r="V553" s="7"/>
    </row>
    <row r="554" spans="2:22" ht="12.5">
      <c r="B554" s="152"/>
      <c r="C554" s="152"/>
      <c r="D554" s="152"/>
      <c r="E554" s="152"/>
      <c r="F554" s="152"/>
      <c r="G554" s="152"/>
      <c r="H554" s="152"/>
      <c r="I554" s="152"/>
      <c r="J554" s="152"/>
      <c r="K554" s="152"/>
      <c r="L554" s="152"/>
      <c r="M554" s="152"/>
      <c r="N554" s="152"/>
      <c r="O554" s="7"/>
      <c r="P554" s="197"/>
      <c r="Q554" s="103"/>
      <c r="S554" s="7"/>
      <c r="T554" s="7"/>
      <c r="U554" s="7"/>
      <c r="V554" s="7"/>
    </row>
    <row r="555" spans="2:22" ht="12.5">
      <c r="B555" s="152"/>
      <c r="C555" s="152"/>
      <c r="D555" s="152"/>
      <c r="E555" s="152"/>
      <c r="F555" s="152"/>
      <c r="G555" s="152"/>
      <c r="H555" s="152"/>
      <c r="I555" s="152"/>
      <c r="J555" s="152"/>
      <c r="K555" s="152"/>
      <c r="L555" s="152"/>
      <c r="M555" s="152"/>
      <c r="N555" s="152"/>
      <c r="O555" s="7"/>
      <c r="P555" s="197"/>
      <c r="Q555" s="103"/>
      <c r="S555" s="7"/>
      <c r="T555" s="7"/>
      <c r="U555" s="7"/>
      <c r="V555" s="7"/>
    </row>
    <row r="556" spans="2:22" ht="12.5">
      <c r="B556" s="152"/>
      <c r="C556" s="152"/>
      <c r="D556" s="152"/>
      <c r="E556" s="152"/>
      <c r="F556" s="152"/>
      <c r="G556" s="152"/>
      <c r="H556" s="152"/>
      <c r="I556" s="152"/>
      <c r="J556" s="152"/>
      <c r="K556" s="152"/>
      <c r="L556" s="152"/>
      <c r="M556" s="152"/>
      <c r="N556" s="152"/>
      <c r="O556" s="7"/>
      <c r="P556" s="197"/>
      <c r="Q556" s="103"/>
      <c r="S556" s="7"/>
      <c r="T556" s="7"/>
      <c r="U556" s="7"/>
      <c r="V556" s="7"/>
    </row>
    <row r="557" spans="2:22" ht="12.5">
      <c r="B557" s="152"/>
      <c r="C557" s="152"/>
      <c r="D557" s="152"/>
      <c r="E557" s="152"/>
      <c r="F557" s="152"/>
      <c r="G557" s="152"/>
      <c r="H557" s="152"/>
      <c r="I557" s="152"/>
      <c r="J557" s="152"/>
      <c r="K557" s="152"/>
      <c r="L557" s="152"/>
      <c r="M557" s="152"/>
      <c r="N557" s="152"/>
      <c r="O557" s="7"/>
      <c r="P557" s="197"/>
      <c r="Q557" s="103"/>
      <c r="S557" s="7"/>
      <c r="T557" s="7"/>
      <c r="U557" s="7"/>
      <c r="V557" s="7"/>
    </row>
    <row r="558" spans="2:22" ht="12.5">
      <c r="B558" s="152"/>
      <c r="C558" s="152"/>
      <c r="D558" s="152"/>
      <c r="E558" s="152"/>
      <c r="F558" s="152"/>
      <c r="G558" s="152"/>
      <c r="H558" s="152"/>
      <c r="I558" s="152"/>
      <c r="J558" s="152"/>
      <c r="K558" s="152"/>
      <c r="L558" s="152"/>
      <c r="M558" s="152"/>
      <c r="N558" s="152"/>
      <c r="O558" s="7"/>
      <c r="P558" s="197"/>
      <c r="Q558" s="103"/>
      <c r="S558" s="7"/>
      <c r="T558" s="7"/>
      <c r="U558" s="7"/>
      <c r="V558" s="7"/>
    </row>
    <row r="559" spans="2:22" ht="12.5">
      <c r="B559" s="152"/>
      <c r="C559" s="152"/>
      <c r="D559" s="152"/>
      <c r="E559" s="152"/>
      <c r="F559" s="152"/>
      <c r="G559" s="152"/>
      <c r="H559" s="152"/>
      <c r="I559" s="152"/>
      <c r="J559" s="152"/>
      <c r="K559" s="152"/>
      <c r="L559" s="152"/>
      <c r="M559" s="152"/>
      <c r="N559" s="152"/>
      <c r="O559" s="7"/>
      <c r="P559" s="197"/>
      <c r="Q559" s="103"/>
      <c r="S559" s="7"/>
      <c r="T559" s="7"/>
      <c r="U559" s="7"/>
      <c r="V559" s="7"/>
    </row>
    <row r="560" spans="2:22" ht="12.5">
      <c r="B560" s="152"/>
      <c r="C560" s="152"/>
      <c r="D560" s="152"/>
      <c r="E560" s="152"/>
      <c r="F560" s="152"/>
      <c r="G560" s="152"/>
      <c r="H560" s="152"/>
      <c r="I560" s="152"/>
      <c r="J560" s="152"/>
      <c r="K560" s="152"/>
      <c r="L560" s="152"/>
      <c r="M560" s="152"/>
      <c r="N560" s="152"/>
      <c r="O560" s="7"/>
      <c r="P560" s="197"/>
      <c r="Q560" s="103"/>
      <c r="S560" s="7"/>
      <c r="T560" s="7"/>
      <c r="U560" s="7"/>
      <c r="V560" s="7"/>
    </row>
    <row r="561" spans="2:22" ht="12.5">
      <c r="B561" s="152"/>
      <c r="C561" s="152"/>
      <c r="D561" s="152"/>
      <c r="E561" s="152"/>
      <c r="F561" s="152"/>
      <c r="G561" s="152"/>
      <c r="H561" s="152"/>
      <c r="I561" s="152"/>
      <c r="J561" s="152"/>
      <c r="K561" s="152"/>
      <c r="L561" s="152"/>
      <c r="M561" s="152"/>
      <c r="N561" s="152"/>
      <c r="O561" s="7"/>
      <c r="P561" s="197"/>
      <c r="Q561" s="103"/>
      <c r="S561" s="7"/>
      <c r="T561" s="7"/>
      <c r="U561" s="7"/>
      <c r="V561" s="7"/>
    </row>
    <row r="562" spans="2:22" ht="12.5">
      <c r="B562" s="152"/>
      <c r="C562" s="152"/>
      <c r="D562" s="152"/>
      <c r="E562" s="152"/>
      <c r="F562" s="152"/>
      <c r="G562" s="152"/>
      <c r="H562" s="152"/>
      <c r="I562" s="152"/>
      <c r="J562" s="152"/>
      <c r="K562" s="152"/>
      <c r="L562" s="152"/>
      <c r="M562" s="152"/>
      <c r="N562" s="152"/>
      <c r="O562" s="7"/>
      <c r="P562" s="197"/>
      <c r="Q562" s="103"/>
      <c r="S562" s="7"/>
      <c r="T562" s="7"/>
      <c r="U562" s="7"/>
      <c r="V562" s="7"/>
    </row>
    <row r="563" spans="2:22" ht="12.5">
      <c r="B563" s="152"/>
      <c r="C563" s="152"/>
      <c r="D563" s="152"/>
      <c r="E563" s="152"/>
      <c r="F563" s="152"/>
      <c r="G563" s="152"/>
      <c r="H563" s="152"/>
      <c r="I563" s="152"/>
      <c r="J563" s="152"/>
      <c r="K563" s="152"/>
      <c r="L563" s="152"/>
      <c r="M563" s="152"/>
      <c r="N563" s="152"/>
      <c r="O563" s="7"/>
      <c r="P563" s="197"/>
      <c r="Q563" s="103"/>
      <c r="S563" s="7"/>
      <c r="T563" s="7"/>
      <c r="U563" s="7"/>
      <c r="V563" s="7"/>
    </row>
    <row r="564" spans="2:22" ht="12.5">
      <c r="B564" s="152"/>
      <c r="C564" s="152"/>
      <c r="D564" s="152"/>
      <c r="E564" s="152"/>
      <c r="F564" s="152"/>
      <c r="G564" s="152"/>
      <c r="H564" s="152"/>
      <c r="I564" s="152"/>
      <c r="J564" s="152"/>
      <c r="K564" s="152"/>
      <c r="L564" s="152"/>
      <c r="M564" s="152"/>
      <c r="N564" s="152"/>
      <c r="O564" s="7"/>
      <c r="P564" s="197"/>
      <c r="Q564" s="103"/>
      <c r="S564" s="7"/>
      <c r="T564" s="7"/>
      <c r="U564" s="7"/>
      <c r="V564" s="7"/>
    </row>
    <row r="565" spans="2:22" ht="12.5">
      <c r="B565" s="152"/>
      <c r="C565" s="152"/>
      <c r="D565" s="152"/>
      <c r="E565" s="152"/>
      <c r="F565" s="152"/>
      <c r="G565" s="152"/>
      <c r="H565" s="152"/>
      <c r="I565" s="152"/>
      <c r="J565" s="152"/>
      <c r="K565" s="152"/>
      <c r="L565" s="152"/>
      <c r="M565" s="152"/>
      <c r="N565" s="152"/>
      <c r="O565" s="7"/>
      <c r="P565" s="197"/>
      <c r="Q565" s="103"/>
      <c r="S565" s="7"/>
      <c r="T565" s="7"/>
      <c r="U565" s="7"/>
      <c r="V565" s="7"/>
    </row>
    <row r="566" spans="2:22" ht="12.5">
      <c r="B566" s="152"/>
      <c r="C566" s="152"/>
      <c r="D566" s="152"/>
      <c r="E566" s="152"/>
      <c r="F566" s="152"/>
      <c r="G566" s="152"/>
      <c r="H566" s="152"/>
      <c r="I566" s="152"/>
      <c r="J566" s="152"/>
      <c r="K566" s="152"/>
      <c r="L566" s="152"/>
      <c r="M566" s="152"/>
      <c r="N566" s="152"/>
      <c r="O566" s="7"/>
      <c r="P566" s="197"/>
      <c r="Q566" s="103"/>
      <c r="S566" s="7"/>
      <c r="T566" s="7"/>
      <c r="U566" s="7"/>
      <c r="V566" s="7"/>
    </row>
    <row r="567" spans="2:22" ht="12.5">
      <c r="B567" s="152"/>
      <c r="C567" s="152"/>
      <c r="D567" s="152"/>
      <c r="E567" s="152"/>
      <c r="F567" s="152"/>
      <c r="G567" s="152"/>
      <c r="H567" s="152"/>
      <c r="I567" s="152"/>
      <c r="J567" s="152"/>
      <c r="K567" s="152"/>
      <c r="L567" s="152"/>
      <c r="M567" s="152"/>
      <c r="N567" s="152"/>
      <c r="O567" s="7"/>
      <c r="P567" s="197"/>
      <c r="Q567" s="103"/>
      <c r="S567" s="7"/>
      <c r="T567" s="7"/>
      <c r="U567" s="7"/>
      <c r="V567" s="7"/>
    </row>
    <row r="568" spans="2:22" ht="12.5">
      <c r="B568" s="152"/>
      <c r="C568" s="152"/>
      <c r="D568" s="152"/>
      <c r="E568" s="152"/>
      <c r="F568" s="152"/>
      <c r="G568" s="152"/>
      <c r="H568" s="152"/>
      <c r="I568" s="152"/>
      <c r="J568" s="152"/>
      <c r="K568" s="152"/>
      <c r="L568" s="152"/>
      <c r="M568" s="152"/>
      <c r="N568" s="152"/>
      <c r="O568" s="7"/>
      <c r="P568" s="197"/>
      <c r="Q568" s="103"/>
      <c r="S568" s="7"/>
      <c r="T568" s="7"/>
      <c r="U568" s="7"/>
      <c r="V568" s="7"/>
    </row>
    <row r="569" spans="2:22" ht="12.5">
      <c r="B569" s="152"/>
      <c r="C569" s="152"/>
      <c r="D569" s="152"/>
      <c r="E569" s="152"/>
      <c r="F569" s="152"/>
      <c r="G569" s="152"/>
      <c r="H569" s="152"/>
      <c r="I569" s="152"/>
      <c r="J569" s="152"/>
      <c r="K569" s="152"/>
      <c r="L569" s="152"/>
      <c r="M569" s="152"/>
      <c r="N569" s="152"/>
      <c r="O569" s="7"/>
      <c r="P569" s="197"/>
      <c r="Q569" s="103"/>
      <c r="S569" s="7"/>
      <c r="T569" s="7"/>
      <c r="U569" s="7"/>
      <c r="V569" s="7"/>
    </row>
    <row r="570" spans="2:22" ht="12.5">
      <c r="B570" s="152"/>
      <c r="C570" s="152"/>
      <c r="D570" s="152"/>
      <c r="E570" s="152"/>
      <c r="F570" s="152"/>
      <c r="G570" s="152"/>
      <c r="H570" s="152"/>
      <c r="I570" s="152"/>
      <c r="J570" s="152"/>
      <c r="K570" s="152"/>
      <c r="L570" s="152"/>
      <c r="M570" s="152"/>
      <c r="N570" s="152"/>
      <c r="O570" s="7"/>
      <c r="P570" s="197"/>
      <c r="Q570" s="103"/>
      <c r="S570" s="7"/>
      <c r="T570" s="7"/>
      <c r="U570" s="7"/>
      <c r="V570" s="7"/>
    </row>
    <row r="571" spans="2:22" ht="12.5">
      <c r="B571" s="152"/>
      <c r="C571" s="152"/>
      <c r="D571" s="152"/>
      <c r="E571" s="152"/>
      <c r="F571" s="152"/>
      <c r="G571" s="152"/>
      <c r="H571" s="152"/>
      <c r="I571" s="152"/>
      <c r="J571" s="152"/>
      <c r="K571" s="152"/>
      <c r="L571" s="152"/>
      <c r="M571" s="152"/>
      <c r="N571" s="152"/>
      <c r="O571" s="7"/>
      <c r="P571" s="197"/>
      <c r="Q571" s="103"/>
      <c r="S571" s="7"/>
      <c r="T571" s="7"/>
      <c r="U571" s="7"/>
      <c r="V571" s="7"/>
    </row>
    <row r="572" spans="2:22" ht="12.5">
      <c r="B572" s="152"/>
      <c r="C572" s="152"/>
      <c r="D572" s="152"/>
      <c r="E572" s="152"/>
      <c r="F572" s="152"/>
      <c r="G572" s="152"/>
      <c r="H572" s="152"/>
      <c r="I572" s="152"/>
      <c r="J572" s="152"/>
      <c r="K572" s="152"/>
      <c r="L572" s="152"/>
      <c r="M572" s="152"/>
      <c r="N572" s="152"/>
      <c r="O572" s="7"/>
      <c r="P572" s="197"/>
      <c r="Q572" s="103"/>
      <c r="S572" s="7"/>
      <c r="T572" s="7"/>
      <c r="U572" s="7"/>
      <c r="V572" s="7"/>
    </row>
    <row r="573" spans="2:22" ht="12.5">
      <c r="B573" s="152"/>
      <c r="C573" s="152"/>
      <c r="D573" s="152"/>
      <c r="E573" s="152"/>
      <c r="F573" s="152"/>
      <c r="G573" s="152"/>
      <c r="H573" s="152"/>
      <c r="I573" s="152"/>
      <c r="J573" s="152"/>
      <c r="K573" s="152"/>
      <c r="L573" s="152"/>
      <c r="M573" s="152"/>
      <c r="N573" s="152"/>
      <c r="O573" s="7"/>
      <c r="P573" s="197"/>
      <c r="Q573" s="103"/>
      <c r="S573" s="7"/>
      <c r="T573" s="7"/>
      <c r="U573" s="7"/>
      <c r="V573" s="7"/>
    </row>
    <row r="574" spans="2:22" ht="12.5">
      <c r="B574" s="152"/>
      <c r="C574" s="152"/>
      <c r="D574" s="152"/>
      <c r="E574" s="152"/>
      <c r="F574" s="152"/>
      <c r="G574" s="152"/>
      <c r="H574" s="152"/>
      <c r="I574" s="152"/>
      <c r="J574" s="152"/>
      <c r="K574" s="152"/>
      <c r="L574" s="152"/>
      <c r="M574" s="152"/>
      <c r="N574" s="152"/>
      <c r="O574" s="7"/>
      <c r="P574" s="197"/>
      <c r="Q574" s="103"/>
      <c r="S574" s="7"/>
      <c r="T574" s="7"/>
      <c r="U574" s="7"/>
      <c r="V574" s="7"/>
    </row>
    <row r="575" spans="2:22" ht="12.5">
      <c r="B575" s="152"/>
      <c r="C575" s="152"/>
      <c r="D575" s="152"/>
      <c r="E575" s="152"/>
      <c r="F575" s="152"/>
      <c r="G575" s="152"/>
      <c r="H575" s="152"/>
      <c r="I575" s="152"/>
      <c r="J575" s="152"/>
      <c r="K575" s="152"/>
      <c r="L575" s="152"/>
      <c r="M575" s="152"/>
      <c r="N575" s="152"/>
      <c r="O575" s="7"/>
      <c r="P575" s="197"/>
      <c r="Q575" s="103"/>
      <c r="S575" s="7"/>
      <c r="T575" s="7"/>
      <c r="U575" s="7"/>
      <c r="V575" s="7"/>
    </row>
    <row r="576" spans="2:22" ht="12.5">
      <c r="B576" s="152"/>
      <c r="C576" s="152"/>
      <c r="D576" s="152"/>
      <c r="E576" s="152"/>
      <c r="F576" s="152"/>
      <c r="G576" s="152"/>
      <c r="H576" s="152"/>
      <c r="I576" s="152"/>
      <c r="J576" s="152"/>
      <c r="K576" s="152"/>
      <c r="L576" s="152"/>
      <c r="M576" s="152"/>
      <c r="N576" s="152"/>
      <c r="O576" s="7"/>
      <c r="P576" s="197"/>
      <c r="Q576" s="103"/>
      <c r="S576" s="7"/>
      <c r="T576" s="7"/>
      <c r="U576" s="7"/>
      <c r="V576" s="7"/>
    </row>
    <row r="577" spans="2:22" ht="12.5">
      <c r="B577" s="152"/>
      <c r="C577" s="152"/>
      <c r="D577" s="152"/>
      <c r="E577" s="152"/>
      <c r="F577" s="152"/>
      <c r="G577" s="152"/>
      <c r="H577" s="152"/>
      <c r="I577" s="152"/>
      <c r="J577" s="152"/>
      <c r="K577" s="152"/>
      <c r="L577" s="152"/>
      <c r="M577" s="152"/>
      <c r="N577" s="152"/>
      <c r="O577" s="7"/>
      <c r="P577" s="197"/>
      <c r="Q577" s="103"/>
      <c r="S577" s="7"/>
      <c r="T577" s="7"/>
      <c r="U577" s="7"/>
      <c r="V577" s="7"/>
    </row>
    <row r="578" spans="2:22" ht="12.5">
      <c r="B578" s="152"/>
      <c r="C578" s="152"/>
      <c r="D578" s="152"/>
      <c r="E578" s="152"/>
      <c r="F578" s="152"/>
      <c r="G578" s="152"/>
      <c r="H578" s="152"/>
      <c r="I578" s="152"/>
      <c r="J578" s="152"/>
      <c r="K578" s="152"/>
      <c r="L578" s="152"/>
      <c r="M578" s="152"/>
      <c r="N578" s="152"/>
      <c r="O578" s="7"/>
      <c r="P578" s="197"/>
      <c r="Q578" s="103"/>
      <c r="S578" s="7"/>
      <c r="T578" s="7"/>
      <c r="U578" s="7"/>
      <c r="V578" s="7"/>
    </row>
    <row r="579" spans="2:22" ht="12.5">
      <c r="B579" s="152"/>
      <c r="C579" s="152"/>
      <c r="D579" s="152"/>
      <c r="E579" s="152"/>
      <c r="F579" s="152"/>
      <c r="G579" s="152"/>
      <c r="H579" s="152"/>
      <c r="I579" s="152"/>
      <c r="J579" s="152"/>
      <c r="K579" s="152"/>
      <c r="L579" s="152"/>
      <c r="M579" s="152"/>
      <c r="N579" s="152"/>
      <c r="O579" s="7"/>
      <c r="P579" s="197"/>
      <c r="Q579" s="103"/>
      <c r="S579" s="7"/>
      <c r="T579" s="7"/>
      <c r="U579" s="7"/>
      <c r="V579" s="7"/>
    </row>
    <row r="580" spans="2:22" ht="12.5">
      <c r="B580" s="152"/>
      <c r="C580" s="152"/>
      <c r="D580" s="152"/>
      <c r="E580" s="152"/>
      <c r="F580" s="152"/>
      <c r="G580" s="152"/>
      <c r="H580" s="152"/>
      <c r="I580" s="152"/>
      <c r="J580" s="152"/>
      <c r="K580" s="152"/>
      <c r="L580" s="152"/>
      <c r="M580" s="152"/>
      <c r="N580" s="152"/>
      <c r="O580" s="7"/>
      <c r="P580" s="197"/>
      <c r="Q580" s="103"/>
      <c r="S580" s="7"/>
      <c r="T580" s="7"/>
      <c r="U580" s="7"/>
      <c r="V580" s="7"/>
    </row>
    <row r="581" spans="2:22" ht="12.5">
      <c r="B581" s="152"/>
      <c r="C581" s="152"/>
      <c r="D581" s="152"/>
      <c r="E581" s="152"/>
      <c r="F581" s="152"/>
      <c r="G581" s="152"/>
      <c r="H581" s="152"/>
      <c r="I581" s="152"/>
      <c r="J581" s="152"/>
      <c r="K581" s="152"/>
      <c r="L581" s="152"/>
      <c r="M581" s="152"/>
      <c r="N581" s="152"/>
      <c r="O581" s="7"/>
      <c r="P581" s="197"/>
      <c r="Q581" s="103"/>
      <c r="S581" s="7"/>
      <c r="T581" s="7"/>
      <c r="U581" s="7"/>
      <c r="V581" s="7"/>
    </row>
    <row r="582" spans="2:22" ht="12.5">
      <c r="B582" s="152"/>
      <c r="C582" s="152"/>
      <c r="D582" s="152"/>
      <c r="E582" s="152"/>
      <c r="F582" s="152"/>
      <c r="G582" s="152"/>
      <c r="H582" s="152"/>
      <c r="I582" s="152"/>
      <c r="J582" s="152"/>
      <c r="K582" s="152"/>
      <c r="L582" s="152"/>
      <c r="M582" s="152"/>
      <c r="N582" s="152"/>
      <c r="O582" s="7"/>
      <c r="P582" s="197"/>
      <c r="Q582" s="103"/>
      <c r="S582" s="7"/>
      <c r="T582" s="7"/>
      <c r="U582" s="7"/>
      <c r="V582" s="7"/>
    </row>
    <row r="583" spans="2:22" ht="12.5">
      <c r="B583" s="152"/>
      <c r="C583" s="152"/>
      <c r="D583" s="152"/>
      <c r="E583" s="152"/>
      <c r="F583" s="152"/>
      <c r="G583" s="152"/>
      <c r="H583" s="152"/>
      <c r="I583" s="152"/>
      <c r="J583" s="152"/>
      <c r="K583" s="152"/>
      <c r="L583" s="152"/>
      <c r="M583" s="152"/>
      <c r="N583" s="152"/>
      <c r="O583" s="7"/>
      <c r="P583" s="197"/>
      <c r="Q583" s="103"/>
      <c r="S583" s="7"/>
      <c r="T583" s="7"/>
      <c r="U583" s="7"/>
      <c r="V583" s="7"/>
    </row>
    <row r="584" spans="2:22" ht="12.5">
      <c r="B584" s="152"/>
      <c r="C584" s="152"/>
      <c r="D584" s="152"/>
      <c r="E584" s="152"/>
      <c r="F584" s="152"/>
      <c r="G584" s="152"/>
      <c r="H584" s="152"/>
      <c r="I584" s="152"/>
      <c r="J584" s="152"/>
      <c r="K584" s="152"/>
      <c r="L584" s="152"/>
      <c r="M584" s="152"/>
      <c r="N584" s="152"/>
      <c r="O584" s="7"/>
      <c r="P584" s="197"/>
      <c r="Q584" s="103"/>
      <c r="S584" s="7"/>
      <c r="T584" s="7"/>
      <c r="U584" s="7"/>
      <c r="V584" s="7"/>
    </row>
    <row r="585" spans="2:22" ht="12.5">
      <c r="B585" s="152"/>
      <c r="C585" s="152"/>
      <c r="D585" s="152"/>
      <c r="E585" s="152"/>
      <c r="F585" s="152"/>
      <c r="G585" s="152"/>
      <c r="H585" s="152"/>
      <c r="I585" s="152"/>
      <c r="J585" s="152"/>
      <c r="K585" s="152"/>
      <c r="L585" s="152"/>
      <c r="M585" s="152"/>
      <c r="N585" s="152"/>
      <c r="O585" s="7"/>
      <c r="P585" s="197"/>
      <c r="Q585" s="103"/>
      <c r="S585" s="7"/>
      <c r="T585" s="7"/>
      <c r="U585" s="7"/>
      <c r="V585" s="7"/>
    </row>
    <row r="586" spans="2:22" ht="12.5">
      <c r="B586" s="152"/>
      <c r="C586" s="152"/>
      <c r="D586" s="152"/>
      <c r="E586" s="152"/>
      <c r="F586" s="152"/>
      <c r="G586" s="152"/>
      <c r="H586" s="152"/>
      <c r="I586" s="152"/>
      <c r="J586" s="152"/>
      <c r="K586" s="152"/>
      <c r="L586" s="152"/>
      <c r="M586" s="152"/>
      <c r="N586" s="152"/>
      <c r="O586" s="7"/>
      <c r="P586" s="197"/>
      <c r="Q586" s="103"/>
      <c r="S586" s="7"/>
      <c r="T586" s="7"/>
      <c r="U586" s="7"/>
      <c r="V586" s="7"/>
    </row>
    <row r="587" spans="2:22" ht="12.5">
      <c r="B587" s="152"/>
      <c r="C587" s="152"/>
      <c r="D587" s="152"/>
      <c r="E587" s="152"/>
      <c r="F587" s="152"/>
      <c r="G587" s="152"/>
      <c r="H587" s="152"/>
      <c r="I587" s="152"/>
      <c r="J587" s="152"/>
      <c r="K587" s="152"/>
      <c r="L587" s="152"/>
      <c r="M587" s="152"/>
      <c r="N587" s="152"/>
      <c r="O587" s="7"/>
      <c r="P587" s="197"/>
      <c r="Q587" s="103"/>
      <c r="S587" s="7"/>
      <c r="T587" s="7"/>
      <c r="U587" s="7"/>
      <c r="V587" s="7"/>
    </row>
    <row r="588" spans="2:22" ht="12.5">
      <c r="B588" s="152"/>
      <c r="C588" s="152"/>
      <c r="D588" s="152"/>
      <c r="E588" s="152"/>
      <c r="F588" s="152"/>
      <c r="G588" s="152"/>
      <c r="H588" s="152"/>
      <c r="I588" s="152"/>
      <c r="J588" s="152"/>
      <c r="K588" s="152"/>
      <c r="L588" s="152"/>
      <c r="M588" s="152"/>
      <c r="N588" s="152"/>
      <c r="O588" s="7"/>
      <c r="P588" s="197"/>
      <c r="Q588" s="103"/>
      <c r="S588" s="7"/>
      <c r="T588" s="7"/>
      <c r="U588" s="7"/>
      <c r="V588" s="7"/>
    </row>
    <row r="589" spans="2:22" ht="12.5">
      <c r="B589" s="152"/>
      <c r="C589" s="152"/>
      <c r="D589" s="152"/>
      <c r="E589" s="152"/>
      <c r="F589" s="152"/>
      <c r="G589" s="152"/>
      <c r="H589" s="152"/>
      <c r="I589" s="152"/>
      <c r="J589" s="152"/>
      <c r="K589" s="152"/>
      <c r="L589" s="152"/>
      <c r="M589" s="152"/>
      <c r="N589" s="152"/>
      <c r="O589" s="7"/>
      <c r="P589" s="197"/>
      <c r="Q589" s="103"/>
      <c r="S589" s="7"/>
      <c r="T589" s="7"/>
      <c r="U589" s="7"/>
      <c r="V589" s="7"/>
    </row>
    <row r="590" spans="2:22" ht="12.5">
      <c r="B590" s="152"/>
      <c r="C590" s="152"/>
      <c r="D590" s="152"/>
      <c r="E590" s="152"/>
      <c r="F590" s="152"/>
      <c r="G590" s="152"/>
      <c r="H590" s="152"/>
      <c r="I590" s="152"/>
      <c r="J590" s="152"/>
      <c r="K590" s="152"/>
      <c r="L590" s="152"/>
      <c r="M590" s="152"/>
      <c r="N590" s="152"/>
      <c r="O590" s="7"/>
      <c r="P590" s="197"/>
      <c r="Q590" s="103"/>
      <c r="S590" s="7"/>
      <c r="T590" s="7"/>
      <c r="U590" s="7"/>
      <c r="V590" s="7"/>
    </row>
    <row r="591" spans="2:22" ht="12.5">
      <c r="B591" s="152"/>
      <c r="C591" s="152"/>
      <c r="D591" s="152"/>
      <c r="E591" s="152"/>
      <c r="F591" s="152"/>
      <c r="G591" s="152"/>
      <c r="H591" s="152"/>
      <c r="I591" s="152"/>
      <c r="J591" s="152"/>
      <c r="K591" s="152"/>
      <c r="L591" s="152"/>
      <c r="M591" s="152"/>
      <c r="N591" s="152"/>
      <c r="O591" s="7"/>
      <c r="P591" s="197"/>
      <c r="Q591" s="103"/>
      <c r="S591" s="7"/>
      <c r="T591" s="7"/>
      <c r="U591" s="7"/>
      <c r="V591" s="7"/>
    </row>
    <row r="592" spans="2:22" ht="12.5">
      <c r="B592" s="152"/>
      <c r="C592" s="152"/>
      <c r="D592" s="152"/>
      <c r="E592" s="152"/>
      <c r="F592" s="152"/>
      <c r="G592" s="152"/>
      <c r="H592" s="152"/>
      <c r="I592" s="152"/>
      <c r="J592" s="152"/>
      <c r="K592" s="152"/>
      <c r="L592" s="152"/>
      <c r="M592" s="152"/>
      <c r="N592" s="152"/>
      <c r="O592" s="7"/>
      <c r="P592" s="197"/>
      <c r="Q592" s="103"/>
      <c r="S592" s="7"/>
      <c r="T592" s="7"/>
      <c r="U592" s="7"/>
      <c r="V592" s="7"/>
    </row>
    <row r="593" spans="2:22" ht="12.5">
      <c r="B593" s="152"/>
      <c r="C593" s="152"/>
      <c r="D593" s="152"/>
      <c r="E593" s="152"/>
      <c r="F593" s="152"/>
      <c r="G593" s="152"/>
      <c r="H593" s="152"/>
      <c r="I593" s="152"/>
      <c r="J593" s="152"/>
      <c r="K593" s="152"/>
      <c r="L593" s="152"/>
      <c r="M593" s="152"/>
      <c r="N593" s="152"/>
      <c r="O593" s="7"/>
      <c r="P593" s="197"/>
      <c r="Q593" s="103"/>
      <c r="S593" s="7"/>
      <c r="T593" s="7"/>
      <c r="U593" s="7"/>
      <c r="V593" s="7"/>
    </row>
    <row r="594" spans="2:22" ht="12.5">
      <c r="B594" s="152"/>
      <c r="C594" s="152"/>
      <c r="D594" s="152"/>
      <c r="E594" s="152"/>
      <c r="F594" s="152"/>
      <c r="G594" s="152"/>
      <c r="H594" s="152"/>
      <c r="I594" s="152"/>
      <c r="J594" s="152"/>
      <c r="K594" s="152"/>
      <c r="L594" s="152"/>
      <c r="M594" s="152"/>
      <c r="N594" s="152"/>
      <c r="O594" s="7"/>
      <c r="P594" s="197"/>
      <c r="Q594" s="103"/>
      <c r="S594" s="7"/>
      <c r="T594" s="7"/>
      <c r="U594" s="7"/>
      <c r="V594" s="7"/>
    </row>
    <row r="595" spans="2:22" ht="12.5">
      <c r="B595" s="152"/>
      <c r="C595" s="152"/>
      <c r="D595" s="152"/>
      <c r="E595" s="152"/>
      <c r="F595" s="152"/>
      <c r="G595" s="152"/>
      <c r="H595" s="152"/>
      <c r="I595" s="152"/>
      <c r="J595" s="152"/>
      <c r="K595" s="152"/>
      <c r="L595" s="152"/>
      <c r="M595" s="152"/>
      <c r="N595" s="152"/>
      <c r="O595" s="7"/>
      <c r="P595" s="197"/>
      <c r="Q595" s="103"/>
      <c r="S595" s="7"/>
      <c r="T595" s="7"/>
      <c r="U595" s="7"/>
      <c r="V595" s="7"/>
    </row>
    <row r="596" spans="2:22" ht="12.5">
      <c r="B596" s="152"/>
      <c r="C596" s="152"/>
      <c r="D596" s="152"/>
      <c r="E596" s="152"/>
      <c r="F596" s="152"/>
      <c r="G596" s="152"/>
      <c r="H596" s="152"/>
      <c r="I596" s="152"/>
      <c r="J596" s="152"/>
      <c r="K596" s="152"/>
      <c r="L596" s="152"/>
      <c r="M596" s="152"/>
      <c r="N596" s="152"/>
      <c r="O596" s="7"/>
      <c r="P596" s="197"/>
      <c r="Q596" s="103"/>
      <c r="S596" s="7"/>
      <c r="T596" s="7"/>
      <c r="U596" s="7"/>
      <c r="V596" s="7"/>
    </row>
    <row r="597" spans="2:22" ht="12.5">
      <c r="B597" s="152"/>
      <c r="C597" s="152"/>
      <c r="D597" s="152"/>
      <c r="E597" s="152"/>
      <c r="F597" s="152"/>
      <c r="G597" s="152"/>
      <c r="H597" s="152"/>
      <c r="I597" s="152"/>
      <c r="J597" s="152"/>
      <c r="K597" s="152"/>
      <c r="L597" s="152"/>
      <c r="M597" s="152"/>
      <c r="N597" s="152"/>
      <c r="O597" s="7"/>
      <c r="P597" s="197"/>
      <c r="Q597" s="103"/>
      <c r="S597" s="7"/>
      <c r="T597" s="7"/>
      <c r="U597" s="7"/>
      <c r="V597" s="7"/>
    </row>
    <row r="598" spans="2:22" ht="12.5">
      <c r="B598" s="152"/>
      <c r="C598" s="152"/>
      <c r="D598" s="152"/>
      <c r="E598" s="152"/>
      <c r="F598" s="152"/>
      <c r="G598" s="152"/>
      <c r="H598" s="152"/>
      <c r="I598" s="152"/>
      <c r="J598" s="152"/>
      <c r="K598" s="152"/>
      <c r="L598" s="152"/>
      <c r="M598" s="152"/>
      <c r="N598" s="152"/>
      <c r="O598" s="7"/>
      <c r="P598" s="197"/>
      <c r="Q598" s="103"/>
      <c r="S598" s="7"/>
      <c r="T598" s="7"/>
      <c r="U598" s="7"/>
      <c r="V598" s="7"/>
    </row>
    <row r="599" spans="2:22" ht="12.5">
      <c r="B599" s="152"/>
      <c r="C599" s="152"/>
      <c r="D599" s="152"/>
      <c r="E599" s="152"/>
      <c r="F599" s="152"/>
      <c r="G599" s="152"/>
      <c r="H599" s="152"/>
      <c r="I599" s="152"/>
      <c r="J599" s="152"/>
      <c r="K599" s="152"/>
      <c r="L599" s="152"/>
      <c r="M599" s="152"/>
      <c r="N599" s="152"/>
      <c r="O599" s="7"/>
      <c r="P599" s="197"/>
      <c r="Q599" s="103"/>
      <c r="S599" s="7"/>
      <c r="T599" s="7"/>
      <c r="U599" s="7"/>
      <c r="V599" s="7"/>
    </row>
    <row r="600" spans="2:22" ht="12.5">
      <c r="B600" s="152"/>
      <c r="C600" s="152"/>
      <c r="D600" s="152"/>
      <c r="E600" s="152"/>
      <c r="F600" s="152"/>
      <c r="G600" s="152"/>
      <c r="H600" s="152"/>
      <c r="I600" s="152"/>
      <c r="J600" s="152"/>
      <c r="K600" s="152"/>
      <c r="L600" s="152"/>
      <c r="M600" s="152"/>
      <c r="N600" s="152"/>
      <c r="O600" s="7"/>
      <c r="P600" s="197"/>
      <c r="Q600" s="103"/>
      <c r="S600" s="7"/>
      <c r="T600" s="7"/>
      <c r="U600" s="7"/>
      <c r="V600" s="7"/>
    </row>
    <row r="601" spans="2:22" ht="12.5">
      <c r="B601" s="152"/>
      <c r="C601" s="152"/>
      <c r="D601" s="152"/>
      <c r="E601" s="152"/>
      <c r="F601" s="152"/>
      <c r="G601" s="152"/>
      <c r="H601" s="152"/>
      <c r="I601" s="152"/>
      <c r="J601" s="152"/>
      <c r="K601" s="152"/>
      <c r="L601" s="152"/>
      <c r="M601" s="152"/>
      <c r="N601" s="152"/>
      <c r="O601" s="7"/>
      <c r="P601" s="197"/>
      <c r="Q601" s="103"/>
      <c r="S601" s="7"/>
      <c r="T601" s="7"/>
      <c r="U601" s="7"/>
      <c r="V601" s="7"/>
    </row>
    <row r="602" spans="2:22" ht="12.5">
      <c r="B602" s="152"/>
      <c r="C602" s="152"/>
      <c r="D602" s="152"/>
      <c r="E602" s="152"/>
      <c r="F602" s="152"/>
      <c r="G602" s="152"/>
      <c r="H602" s="152"/>
      <c r="I602" s="152"/>
      <c r="J602" s="152"/>
      <c r="K602" s="152"/>
      <c r="L602" s="152"/>
      <c r="M602" s="152"/>
      <c r="N602" s="152"/>
      <c r="O602" s="7"/>
      <c r="P602" s="197"/>
      <c r="Q602" s="103"/>
      <c r="S602" s="7"/>
      <c r="T602" s="7"/>
      <c r="U602" s="7"/>
      <c r="V602" s="7"/>
    </row>
    <row r="603" spans="2:22" ht="12.5">
      <c r="B603" s="152"/>
      <c r="C603" s="152"/>
      <c r="D603" s="152"/>
      <c r="E603" s="152"/>
      <c r="F603" s="152"/>
      <c r="G603" s="152"/>
      <c r="H603" s="152"/>
      <c r="I603" s="152"/>
      <c r="J603" s="152"/>
      <c r="K603" s="152"/>
      <c r="L603" s="152"/>
      <c r="M603" s="152"/>
      <c r="N603" s="152"/>
      <c r="O603" s="7"/>
      <c r="P603" s="197"/>
      <c r="Q603" s="103"/>
      <c r="S603" s="7"/>
      <c r="T603" s="7"/>
      <c r="U603" s="7"/>
      <c r="V603" s="7"/>
    </row>
    <row r="604" spans="2:22" ht="12.5">
      <c r="B604" s="152"/>
      <c r="C604" s="152"/>
      <c r="D604" s="152"/>
      <c r="E604" s="152"/>
      <c r="F604" s="152"/>
      <c r="G604" s="152"/>
      <c r="H604" s="152"/>
      <c r="I604" s="152"/>
      <c r="J604" s="152"/>
      <c r="K604" s="152"/>
      <c r="L604" s="152"/>
      <c r="M604" s="152"/>
      <c r="N604" s="152"/>
      <c r="O604" s="7"/>
      <c r="P604" s="197"/>
      <c r="Q604" s="103"/>
      <c r="S604" s="7"/>
      <c r="T604" s="7"/>
      <c r="U604" s="7"/>
      <c r="V604" s="7"/>
    </row>
    <row r="605" spans="2:22" ht="12.5">
      <c r="B605" s="152"/>
      <c r="C605" s="152"/>
      <c r="D605" s="152"/>
      <c r="E605" s="152"/>
      <c r="F605" s="152"/>
      <c r="G605" s="152"/>
      <c r="H605" s="152"/>
      <c r="I605" s="152"/>
      <c r="J605" s="152"/>
      <c r="K605" s="152"/>
      <c r="L605" s="152"/>
      <c r="M605" s="152"/>
      <c r="N605" s="152"/>
      <c r="O605" s="7"/>
      <c r="P605" s="197"/>
      <c r="Q605" s="103"/>
      <c r="S605" s="7"/>
      <c r="T605" s="7"/>
      <c r="U605" s="7"/>
      <c r="V605" s="7"/>
    </row>
    <row r="606" spans="2:22" ht="12.5">
      <c r="B606" s="152"/>
      <c r="C606" s="152"/>
      <c r="D606" s="152"/>
      <c r="E606" s="152"/>
      <c r="F606" s="152"/>
      <c r="G606" s="152"/>
      <c r="H606" s="152"/>
      <c r="I606" s="152"/>
      <c r="J606" s="152"/>
      <c r="K606" s="152"/>
      <c r="L606" s="152"/>
      <c r="M606" s="152"/>
      <c r="N606" s="152"/>
      <c r="O606" s="7"/>
      <c r="P606" s="197"/>
      <c r="Q606" s="103"/>
      <c r="S606" s="7"/>
      <c r="T606" s="7"/>
      <c r="U606" s="7"/>
      <c r="V606" s="7"/>
    </row>
    <row r="607" spans="2:22" ht="12.5">
      <c r="B607" s="152"/>
      <c r="C607" s="152"/>
      <c r="D607" s="152"/>
      <c r="E607" s="152"/>
      <c r="F607" s="152"/>
      <c r="G607" s="152"/>
      <c r="H607" s="152"/>
      <c r="I607" s="152"/>
      <c r="J607" s="152"/>
      <c r="K607" s="152"/>
      <c r="L607" s="152"/>
      <c r="M607" s="152"/>
      <c r="N607" s="152"/>
      <c r="O607" s="7"/>
      <c r="P607" s="197"/>
      <c r="Q607" s="103"/>
      <c r="S607" s="7"/>
      <c r="T607" s="7"/>
      <c r="U607" s="7"/>
      <c r="V607" s="7"/>
    </row>
    <row r="608" spans="2:22" ht="12.5">
      <c r="B608" s="152"/>
      <c r="C608" s="152"/>
      <c r="D608" s="152"/>
      <c r="E608" s="152"/>
      <c r="F608" s="152"/>
      <c r="G608" s="152"/>
      <c r="H608" s="152"/>
      <c r="I608" s="152"/>
      <c r="J608" s="152"/>
      <c r="K608" s="152"/>
      <c r="L608" s="152"/>
      <c r="M608" s="152"/>
      <c r="N608" s="152"/>
      <c r="O608" s="7"/>
      <c r="P608" s="197"/>
      <c r="Q608" s="103"/>
      <c r="S608" s="7"/>
      <c r="T608" s="7"/>
      <c r="U608" s="7"/>
      <c r="V608" s="7"/>
    </row>
    <row r="609" spans="2:22" ht="12.5">
      <c r="B609" s="152"/>
      <c r="C609" s="152"/>
      <c r="D609" s="152"/>
      <c r="E609" s="152"/>
      <c r="F609" s="152"/>
      <c r="G609" s="152"/>
      <c r="H609" s="152"/>
      <c r="I609" s="152"/>
      <c r="J609" s="152"/>
      <c r="K609" s="152"/>
      <c r="L609" s="152"/>
      <c r="M609" s="152"/>
      <c r="N609" s="152"/>
      <c r="O609" s="7"/>
      <c r="P609" s="197"/>
      <c r="Q609" s="103"/>
      <c r="S609" s="7"/>
      <c r="T609" s="7"/>
      <c r="U609" s="7"/>
      <c r="V609" s="7"/>
    </row>
    <row r="610" spans="2:22" ht="12.5">
      <c r="B610" s="152"/>
      <c r="C610" s="152"/>
      <c r="D610" s="152"/>
      <c r="E610" s="152"/>
      <c r="F610" s="152"/>
      <c r="G610" s="152"/>
      <c r="H610" s="152"/>
      <c r="I610" s="152"/>
      <c r="J610" s="152"/>
      <c r="K610" s="152"/>
      <c r="L610" s="152"/>
      <c r="M610" s="152"/>
      <c r="N610" s="152"/>
      <c r="O610" s="7"/>
      <c r="P610" s="197"/>
      <c r="Q610" s="103"/>
      <c r="S610" s="7"/>
      <c r="T610" s="7"/>
      <c r="U610" s="7"/>
      <c r="V610" s="7"/>
    </row>
    <row r="611" spans="2:22" ht="12.5">
      <c r="B611" s="152"/>
      <c r="C611" s="152"/>
      <c r="D611" s="152"/>
      <c r="E611" s="152"/>
      <c r="F611" s="152"/>
      <c r="G611" s="152"/>
      <c r="H611" s="152"/>
      <c r="I611" s="152"/>
      <c r="J611" s="152"/>
      <c r="K611" s="152"/>
      <c r="L611" s="152"/>
      <c r="M611" s="152"/>
      <c r="N611" s="152"/>
      <c r="O611" s="7"/>
      <c r="P611" s="197"/>
      <c r="Q611" s="103"/>
      <c r="S611" s="7"/>
      <c r="T611" s="7"/>
      <c r="U611" s="7"/>
      <c r="V611" s="7"/>
    </row>
    <row r="612" spans="2:22" ht="12.5">
      <c r="B612" s="152"/>
      <c r="C612" s="152"/>
      <c r="D612" s="152"/>
      <c r="E612" s="152"/>
      <c r="F612" s="152"/>
      <c r="G612" s="152"/>
      <c r="H612" s="152"/>
      <c r="I612" s="152"/>
      <c r="J612" s="152"/>
      <c r="K612" s="152"/>
      <c r="L612" s="152"/>
      <c r="M612" s="152"/>
      <c r="N612" s="152"/>
      <c r="O612" s="7"/>
      <c r="P612" s="197"/>
      <c r="Q612" s="103"/>
      <c r="S612" s="7"/>
      <c r="T612" s="7"/>
      <c r="U612" s="7"/>
      <c r="V612" s="7"/>
    </row>
    <row r="613" spans="2:22" ht="12.5">
      <c r="B613" s="152"/>
      <c r="C613" s="152"/>
      <c r="D613" s="152"/>
      <c r="E613" s="152"/>
      <c r="F613" s="152"/>
      <c r="G613" s="152"/>
      <c r="H613" s="152"/>
      <c r="I613" s="152"/>
      <c r="J613" s="152"/>
      <c r="K613" s="152"/>
      <c r="L613" s="152"/>
      <c r="M613" s="152"/>
      <c r="N613" s="152"/>
      <c r="O613" s="7"/>
      <c r="P613" s="197"/>
      <c r="Q613" s="103"/>
      <c r="S613" s="7"/>
      <c r="T613" s="7"/>
      <c r="U613" s="7"/>
      <c r="V613" s="7"/>
    </row>
    <row r="614" spans="2:22" ht="12.5">
      <c r="B614" s="152"/>
      <c r="C614" s="152"/>
      <c r="D614" s="152"/>
      <c r="E614" s="152"/>
      <c r="F614" s="152"/>
      <c r="G614" s="152"/>
      <c r="H614" s="152"/>
      <c r="I614" s="152"/>
      <c r="J614" s="152"/>
      <c r="K614" s="152"/>
      <c r="L614" s="152"/>
      <c r="M614" s="152"/>
      <c r="N614" s="152"/>
      <c r="O614" s="7"/>
      <c r="P614" s="197"/>
      <c r="Q614" s="103"/>
      <c r="S614" s="7"/>
      <c r="T614" s="7"/>
      <c r="U614" s="7"/>
      <c r="V614" s="7"/>
    </row>
    <row r="615" spans="2:22" ht="12.5">
      <c r="B615" s="152"/>
      <c r="C615" s="152"/>
      <c r="D615" s="152"/>
      <c r="E615" s="152"/>
      <c r="F615" s="152"/>
      <c r="G615" s="152"/>
      <c r="H615" s="152"/>
      <c r="I615" s="152"/>
      <c r="J615" s="152"/>
      <c r="K615" s="152"/>
      <c r="L615" s="152"/>
      <c r="M615" s="152"/>
      <c r="N615" s="152"/>
      <c r="O615" s="7"/>
      <c r="P615" s="197"/>
      <c r="Q615" s="103"/>
      <c r="S615" s="7"/>
      <c r="T615" s="7"/>
      <c r="U615" s="7"/>
      <c r="V615" s="7"/>
    </row>
    <row r="616" spans="2:22" ht="12.5">
      <c r="B616" s="152"/>
      <c r="C616" s="152"/>
      <c r="D616" s="152"/>
      <c r="E616" s="152"/>
      <c r="F616" s="152"/>
      <c r="G616" s="152"/>
      <c r="H616" s="152"/>
      <c r="I616" s="152"/>
      <c r="J616" s="152"/>
      <c r="K616" s="152"/>
      <c r="L616" s="152"/>
      <c r="M616" s="152"/>
      <c r="N616" s="152"/>
      <c r="O616" s="7"/>
      <c r="P616" s="197"/>
      <c r="Q616" s="103"/>
      <c r="S616" s="7"/>
      <c r="T616" s="7"/>
      <c r="U616" s="7"/>
      <c r="V616" s="7"/>
    </row>
    <row r="617" spans="2:22" ht="12.5">
      <c r="B617" s="152"/>
      <c r="C617" s="152"/>
      <c r="D617" s="152"/>
      <c r="E617" s="152"/>
      <c r="F617" s="152"/>
      <c r="G617" s="152"/>
      <c r="H617" s="152"/>
      <c r="I617" s="152"/>
      <c r="J617" s="152"/>
      <c r="K617" s="152"/>
      <c r="L617" s="152"/>
      <c r="M617" s="152"/>
      <c r="N617" s="152"/>
      <c r="O617" s="7"/>
      <c r="P617" s="197"/>
      <c r="Q617" s="103"/>
      <c r="S617" s="7"/>
      <c r="T617" s="7"/>
      <c r="U617" s="7"/>
      <c r="V617" s="7"/>
    </row>
    <row r="618" spans="2:22" ht="12.5">
      <c r="B618" s="152"/>
      <c r="C618" s="152"/>
      <c r="D618" s="152"/>
      <c r="E618" s="152"/>
      <c r="F618" s="152"/>
      <c r="G618" s="152"/>
      <c r="H618" s="152"/>
      <c r="I618" s="152"/>
      <c r="J618" s="152"/>
      <c r="K618" s="152"/>
      <c r="L618" s="152"/>
      <c r="M618" s="152"/>
      <c r="N618" s="152"/>
      <c r="O618" s="7"/>
      <c r="P618" s="197"/>
      <c r="Q618" s="103"/>
      <c r="S618" s="7"/>
      <c r="T618" s="7"/>
      <c r="U618" s="7"/>
      <c r="V618" s="7"/>
    </row>
    <row r="619" spans="2:22" ht="12.5">
      <c r="B619" s="152"/>
      <c r="C619" s="152"/>
      <c r="D619" s="152"/>
      <c r="E619" s="152"/>
      <c r="F619" s="152"/>
      <c r="G619" s="152"/>
      <c r="H619" s="152"/>
      <c r="I619" s="152"/>
      <c r="J619" s="152"/>
      <c r="K619" s="152"/>
      <c r="L619" s="152"/>
      <c r="M619" s="152"/>
      <c r="N619" s="152"/>
      <c r="O619" s="7"/>
      <c r="P619" s="197"/>
      <c r="Q619" s="103"/>
      <c r="S619" s="7"/>
      <c r="T619" s="7"/>
      <c r="U619" s="7"/>
      <c r="V619" s="7"/>
    </row>
    <row r="620" spans="2:22" ht="12.5">
      <c r="B620" s="152"/>
      <c r="C620" s="152"/>
      <c r="D620" s="152"/>
      <c r="E620" s="152"/>
      <c r="F620" s="152"/>
      <c r="G620" s="152"/>
      <c r="H620" s="152"/>
      <c r="I620" s="152"/>
      <c r="J620" s="152"/>
      <c r="K620" s="152"/>
      <c r="L620" s="152"/>
      <c r="M620" s="152"/>
      <c r="N620" s="152"/>
      <c r="O620" s="7"/>
      <c r="P620" s="197"/>
      <c r="Q620" s="103"/>
      <c r="S620" s="7"/>
      <c r="T620" s="7"/>
      <c r="U620" s="7"/>
      <c r="V620" s="7"/>
    </row>
    <row r="621" spans="2:22" ht="12.5">
      <c r="B621" s="152"/>
      <c r="C621" s="152"/>
      <c r="D621" s="152"/>
      <c r="E621" s="152"/>
      <c r="F621" s="152"/>
      <c r="G621" s="152"/>
      <c r="H621" s="152"/>
      <c r="I621" s="152"/>
      <c r="J621" s="152"/>
      <c r="K621" s="152"/>
      <c r="L621" s="152"/>
      <c r="M621" s="152"/>
      <c r="N621" s="152"/>
      <c r="O621" s="7"/>
      <c r="P621" s="197"/>
      <c r="Q621" s="103"/>
      <c r="S621" s="7"/>
      <c r="T621" s="7"/>
      <c r="U621" s="7"/>
      <c r="V621" s="7"/>
    </row>
    <row r="622" spans="2:22" ht="12.5">
      <c r="B622" s="152"/>
      <c r="C622" s="152"/>
      <c r="D622" s="152"/>
      <c r="E622" s="152"/>
      <c r="F622" s="152"/>
      <c r="G622" s="152"/>
      <c r="H622" s="152"/>
      <c r="I622" s="152"/>
      <c r="J622" s="152"/>
      <c r="K622" s="152"/>
      <c r="L622" s="152"/>
      <c r="M622" s="152"/>
      <c r="N622" s="152"/>
      <c r="O622" s="7"/>
      <c r="P622" s="197"/>
      <c r="Q622" s="103"/>
      <c r="S622" s="7"/>
      <c r="T622" s="7"/>
      <c r="U622" s="7"/>
      <c r="V622" s="7"/>
    </row>
    <row r="623" spans="2:22" ht="12.5">
      <c r="B623" s="152"/>
      <c r="C623" s="152"/>
      <c r="D623" s="152"/>
      <c r="E623" s="152"/>
      <c r="F623" s="152"/>
      <c r="G623" s="152"/>
      <c r="H623" s="152"/>
      <c r="I623" s="152"/>
      <c r="J623" s="152"/>
      <c r="K623" s="152"/>
      <c r="L623" s="152"/>
      <c r="M623" s="152"/>
      <c r="N623" s="152"/>
      <c r="O623" s="7"/>
      <c r="P623" s="197"/>
      <c r="Q623" s="103"/>
      <c r="S623" s="7"/>
      <c r="T623" s="7"/>
      <c r="U623" s="7"/>
      <c r="V623" s="7"/>
    </row>
    <row r="624" spans="2:22" ht="12.5">
      <c r="B624" s="152"/>
      <c r="C624" s="152"/>
      <c r="D624" s="152"/>
      <c r="E624" s="152"/>
      <c r="F624" s="152"/>
      <c r="G624" s="152"/>
      <c r="H624" s="152"/>
      <c r="I624" s="152"/>
      <c r="J624" s="152"/>
      <c r="K624" s="152"/>
      <c r="L624" s="152"/>
      <c r="M624" s="152"/>
      <c r="N624" s="152"/>
      <c r="O624" s="7"/>
      <c r="P624" s="197"/>
      <c r="Q624" s="103"/>
      <c r="S624" s="7"/>
      <c r="T624" s="7"/>
      <c r="U624" s="7"/>
      <c r="V624" s="7"/>
    </row>
    <row r="625" spans="2:22" ht="12.5">
      <c r="B625" s="152"/>
      <c r="C625" s="152"/>
      <c r="D625" s="152"/>
      <c r="E625" s="152"/>
      <c r="F625" s="152"/>
      <c r="G625" s="152"/>
      <c r="H625" s="152"/>
      <c r="I625" s="152"/>
      <c r="J625" s="152"/>
      <c r="K625" s="152"/>
      <c r="L625" s="152"/>
      <c r="M625" s="152"/>
      <c r="N625" s="152"/>
      <c r="O625" s="7"/>
      <c r="P625" s="197"/>
      <c r="Q625" s="103"/>
      <c r="S625" s="7"/>
      <c r="T625" s="7"/>
      <c r="U625" s="7"/>
      <c r="V625" s="7"/>
    </row>
    <row r="626" spans="2:22" ht="12.5">
      <c r="B626" s="152"/>
      <c r="C626" s="152"/>
      <c r="D626" s="152"/>
      <c r="E626" s="152"/>
      <c r="F626" s="152"/>
      <c r="G626" s="152"/>
      <c r="H626" s="152"/>
      <c r="I626" s="152"/>
      <c r="J626" s="152"/>
      <c r="K626" s="152"/>
      <c r="L626" s="152"/>
      <c r="M626" s="152"/>
      <c r="N626" s="152"/>
      <c r="O626" s="7"/>
      <c r="P626" s="197"/>
      <c r="Q626" s="103"/>
      <c r="S626" s="7"/>
      <c r="T626" s="7"/>
      <c r="U626" s="7"/>
      <c r="V626" s="7"/>
    </row>
    <row r="627" spans="2:22" ht="12.5">
      <c r="B627" s="152"/>
      <c r="C627" s="152"/>
      <c r="D627" s="152"/>
      <c r="E627" s="152"/>
      <c r="F627" s="152"/>
      <c r="G627" s="152"/>
      <c r="H627" s="152"/>
      <c r="I627" s="152"/>
      <c r="J627" s="152"/>
      <c r="K627" s="152"/>
      <c r="L627" s="152"/>
      <c r="M627" s="152"/>
      <c r="N627" s="152"/>
      <c r="O627" s="7"/>
      <c r="P627" s="197"/>
      <c r="Q627" s="103"/>
      <c r="S627" s="7"/>
      <c r="T627" s="7"/>
      <c r="U627" s="7"/>
      <c r="V627" s="7"/>
    </row>
    <row r="628" spans="2:22" ht="12.5">
      <c r="B628" s="152"/>
      <c r="C628" s="152"/>
      <c r="D628" s="152"/>
      <c r="E628" s="152"/>
      <c r="F628" s="152"/>
      <c r="G628" s="152"/>
      <c r="H628" s="152"/>
      <c r="I628" s="152"/>
      <c r="J628" s="152"/>
      <c r="K628" s="152"/>
      <c r="L628" s="152"/>
      <c r="M628" s="152"/>
      <c r="N628" s="152"/>
      <c r="O628" s="7"/>
      <c r="P628" s="197"/>
      <c r="Q628" s="103"/>
      <c r="S628" s="7"/>
      <c r="T628" s="7"/>
      <c r="U628" s="7"/>
      <c r="V628" s="7"/>
    </row>
    <row r="629" spans="2:22" ht="12.5">
      <c r="B629" s="152"/>
      <c r="C629" s="152"/>
      <c r="D629" s="152"/>
      <c r="E629" s="152"/>
      <c r="F629" s="152"/>
      <c r="G629" s="152"/>
      <c r="H629" s="152"/>
      <c r="I629" s="152"/>
      <c r="J629" s="152"/>
      <c r="K629" s="152"/>
      <c r="L629" s="152"/>
      <c r="M629" s="152"/>
      <c r="N629" s="152"/>
      <c r="O629" s="7"/>
      <c r="P629" s="197"/>
      <c r="Q629" s="103"/>
      <c r="S629" s="7"/>
      <c r="T629" s="7"/>
      <c r="U629" s="7"/>
      <c r="V629" s="7"/>
    </row>
    <row r="630" spans="2:22" ht="12.5">
      <c r="B630" s="152"/>
      <c r="C630" s="152"/>
      <c r="D630" s="152"/>
      <c r="E630" s="152"/>
      <c r="F630" s="152"/>
      <c r="G630" s="152"/>
      <c r="H630" s="152"/>
      <c r="I630" s="152"/>
      <c r="J630" s="152"/>
      <c r="K630" s="152"/>
      <c r="L630" s="152"/>
      <c r="M630" s="152"/>
      <c r="N630" s="152"/>
      <c r="O630" s="7"/>
      <c r="P630" s="197"/>
      <c r="Q630" s="103"/>
      <c r="S630" s="7"/>
      <c r="T630" s="7"/>
      <c r="U630" s="7"/>
      <c r="V630" s="7"/>
    </row>
    <row r="631" spans="2:22" ht="12.5">
      <c r="B631" s="152"/>
      <c r="C631" s="152"/>
      <c r="D631" s="152"/>
      <c r="E631" s="152"/>
      <c r="F631" s="152"/>
      <c r="G631" s="152"/>
      <c r="H631" s="152"/>
      <c r="I631" s="152"/>
      <c r="J631" s="152"/>
      <c r="K631" s="152"/>
      <c r="L631" s="152"/>
      <c r="M631" s="152"/>
      <c r="N631" s="152"/>
      <c r="O631" s="7"/>
      <c r="P631" s="197"/>
      <c r="Q631" s="103"/>
      <c r="S631" s="7"/>
      <c r="T631" s="7"/>
      <c r="U631" s="7"/>
      <c r="V631" s="7"/>
    </row>
    <row r="632" spans="2:22" ht="12.5">
      <c r="B632" s="152"/>
      <c r="C632" s="152"/>
      <c r="D632" s="152"/>
      <c r="E632" s="152"/>
      <c r="F632" s="152"/>
      <c r="G632" s="152"/>
      <c r="H632" s="152"/>
      <c r="I632" s="152"/>
      <c r="J632" s="152"/>
      <c r="K632" s="152"/>
      <c r="L632" s="152"/>
      <c r="M632" s="152"/>
      <c r="N632" s="152"/>
      <c r="O632" s="7"/>
      <c r="P632" s="197"/>
      <c r="Q632" s="103"/>
      <c r="S632" s="7"/>
      <c r="T632" s="7"/>
      <c r="U632" s="7"/>
      <c r="V632" s="7"/>
    </row>
    <row r="633" spans="2:22" ht="12.5">
      <c r="B633" s="152"/>
      <c r="C633" s="152"/>
      <c r="D633" s="152"/>
      <c r="E633" s="152"/>
      <c r="F633" s="152"/>
      <c r="G633" s="152"/>
      <c r="H633" s="152"/>
      <c r="I633" s="152"/>
      <c r="J633" s="152"/>
      <c r="K633" s="152"/>
      <c r="L633" s="152"/>
      <c r="M633" s="152"/>
      <c r="N633" s="152"/>
      <c r="O633" s="7"/>
      <c r="P633" s="197"/>
      <c r="Q633" s="103"/>
      <c r="S633" s="7"/>
      <c r="T633" s="7"/>
      <c r="U633" s="7"/>
      <c r="V633" s="7"/>
    </row>
    <row r="634" spans="2:22" ht="12.5">
      <c r="B634" s="152"/>
      <c r="C634" s="152"/>
      <c r="D634" s="152"/>
      <c r="E634" s="152"/>
      <c r="F634" s="152"/>
      <c r="G634" s="152"/>
      <c r="H634" s="152"/>
      <c r="I634" s="152"/>
      <c r="J634" s="152"/>
      <c r="K634" s="152"/>
      <c r="L634" s="152"/>
      <c r="M634" s="152"/>
      <c r="N634" s="152"/>
      <c r="O634" s="7"/>
      <c r="P634" s="197"/>
      <c r="Q634" s="103"/>
      <c r="S634" s="7"/>
      <c r="T634" s="7"/>
      <c r="U634" s="7"/>
      <c r="V634" s="7"/>
    </row>
    <row r="635" spans="2:22" ht="12.5">
      <c r="B635" s="152"/>
      <c r="C635" s="152"/>
      <c r="D635" s="152"/>
      <c r="E635" s="152"/>
      <c r="F635" s="152"/>
      <c r="G635" s="152"/>
      <c r="H635" s="152"/>
      <c r="I635" s="152"/>
      <c r="J635" s="152"/>
      <c r="K635" s="152"/>
      <c r="L635" s="152"/>
      <c r="M635" s="152"/>
      <c r="N635" s="152"/>
      <c r="O635" s="7"/>
      <c r="P635" s="197"/>
      <c r="Q635" s="103"/>
      <c r="S635" s="7"/>
      <c r="T635" s="7"/>
      <c r="U635" s="7"/>
      <c r="V635" s="7"/>
    </row>
    <row r="636" spans="2:22" ht="12.5">
      <c r="B636" s="152"/>
      <c r="C636" s="152"/>
      <c r="D636" s="152"/>
      <c r="E636" s="152"/>
      <c r="F636" s="152"/>
      <c r="G636" s="152"/>
      <c r="H636" s="152"/>
      <c r="I636" s="152"/>
      <c r="J636" s="152"/>
      <c r="K636" s="152"/>
      <c r="L636" s="152"/>
      <c r="M636" s="152"/>
      <c r="N636" s="152"/>
      <c r="O636" s="7"/>
      <c r="P636" s="197"/>
      <c r="Q636" s="103"/>
      <c r="S636" s="7"/>
      <c r="T636" s="7"/>
      <c r="U636" s="7"/>
      <c r="V636" s="7"/>
    </row>
    <row r="637" spans="2:22" ht="12.5">
      <c r="B637" s="152"/>
      <c r="C637" s="152"/>
      <c r="D637" s="152"/>
      <c r="E637" s="152"/>
      <c r="F637" s="152"/>
      <c r="G637" s="152"/>
      <c r="H637" s="152"/>
      <c r="I637" s="152"/>
      <c r="J637" s="152"/>
      <c r="K637" s="152"/>
      <c r="L637" s="152"/>
      <c r="M637" s="152"/>
      <c r="N637" s="152"/>
      <c r="O637" s="7"/>
      <c r="P637" s="197"/>
      <c r="Q637" s="103"/>
      <c r="S637" s="7"/>
      <c r="T637" s="7"/>
      <c r="U637" s="7"/>
      <c r="V637" s="7"/>
    </row>
    <row r="638" spans="2:22" ht="12.5">
      <c r="B638" s="152"/>
      <c r="C638" s="152"/>
      <c r="D638" s="152"/>
      <c r="E638" s="152"/>
      <c r="F638" s="152"/>
      <c r="G638" s="152"/>
      <c r="H638" s="152"/>
      <c r="I638" s="152"/>
      <c r="J638" s="152"/>
      <c r="K638" s="152"/>
      <c r="L638" s="152"/>
      <c r="M638" s="152"/>
      <c r="N638" s="152"/>
      <c r="O638" s="7"/>
      <c r="P638" s="197"/>
      <c r="Q638" s="103"/>
      <c r="S638" s="7"/>
      <c r="T638" s="7"/>
      <c r="U638" s="7"/>
      <c r="V638" s="7"/>
    </row>
    <row r="639" spans="2:22" ht="12.5">
      <c r="B639" s="152"/>
      <c r="C639" s="152"/>
      <c r="D639" s="152"/>
      <c r="E639" s="152"/>
      <c r="F639" s="152"/>
      <c r="G639" s="152"/>
      <c r="H639" s="152"/>
      <c r="I639" s="152"/>
      <c r="J639" s="152"/>
      <c r="K639" s="152"/>
      <c r="L639" s="152"/>
      <c r="M639" s="152"/>
      <c r="N639" s="152"/>
      <c r="O639" s="7"/>
      <c r="P639" s="197"/>
      <c r="Q639" s="103"/>
      <c r="S639" s="7"/>
      <c r="T639" s="7"/>
      <c r="U639" s="7"/>
      <c r="V639" s="7"/>
    </row>
    <row r="640" spans="2:22" ht="12.5">
      <c r="B640" s="152"/>
      <c r="C640" s="152"/>
      <c r="D640" s="152"/>
      <c r="E640" s="152"/>
      <c r="F640" s="152"/>
      <c r="G640" s="152"/>
      <c r="H640" s="152"/>
      <c r="I640" s="152"/>
      <c r="J640" s="152"/>
      <c r="K640" s="152"/>
      <c r="L640" s="152"/>
      <c r="M640" s="152"/>
      <c r="N640" s="152"/>
      <c r="O640" s="7"/>
      <c r="P640" s="197"/>
      <c r="Q640" s="103"/>
      <c r="S640" s="7"/>
      <c r="T640" s="7"/>
      <c r="U640" s="7"/>
      <c r="V640" s="7"/>
    </row>
    <row r="641" spans="2:22" ht="12.5">
      <c r="B641" s="152"/>
      <c r="C641" s="152"/>
      <c r="D641" s="152"/>
      <c r="E641" s="152"/>
      <c r="F641" s="152"/>
      <c r="G641" s="152"/>
      <c r="H641" s="152"/>
      <c r="I641" s="152"/>
      <c r="J641" s="152"/>
      <c r="K641" s="152"/>
      <c r="L641" s="152"/>
      <c r="M641" s="152"/>
      <c r="N641" s="152"/>
      <c r="O641" s="7"/>
      <c r="P641" s="197"/>
      <c r="Q641" s="103"/>
      <c r="S641" s="7"/>
      <c r="T641" s="7"/>
      <c r="U641" s="7"/>
      <c r="V641" s="7"/>
    </row>
    <row r="642" spans="2:22" ht="12.5">
      <c r="B642" s="152"/>
      <c r="C642" s="152"/>
      <c r="D642" s="152"/>
      <c r="E642" s="152"/>
      <c r="F642" s="152"/>
      <c r="G642" s="152"/>
      <c r="H642" s="152"/>
      <c r="I642" s="152"/>
      <c r="J642" s="152"/>
      <c r="K642" s="152"/>
      <c r="L642" s="152"/>
      <c r="M642" s="152"/>
      <c r="N642" s="152"/>
      <c r="O642" s="7"/>
      <c r="P642" s="197"/>
      <c r="Q642" s="103"/>
      <c r="S642" s="7"/>
      <c r="T642" s="7"/>
      <c r="U642" s="7"/>
      <c r="V642" s="7"/>
    </row>
    <row r="643" spans="2:22" ht="12.5">
      <c r="B643" s="152"/>
      <c r="C643" s="152"/>
      <c r="D643" s="152"/>
      <c r="E643" s="152"/>
      <c r="F643" s="152"/>
      <c r="G643" s="152"/>
      <c r="H643" s="152"/>
      <c r="I643" s="152"/>
      <c r="J643" s="152"/>
      <c r="K643" s="152"/>
      <c r="L643" s="152"/>
      <c r="M643" s="152"/>
      <c r="N643" s="152"/>
      <c r="O643" s="7"/>
      <c r="P643" s="197"/>
      <c r="Q643" s="103"/>
      <c r="S643" s="7"/>
      <c r="T643" s="7"/>
      <c r="U643" s="7"/>
      <c r="V643" s="7"/>
    </row>
    <row r="644" spans="2:22" ht="12.5">
      <c r="B644" s="152"/>
      <c r="C644" s="152"/>
      <c r="D644" s="152"/>
      <c r="E644" s="152"/>
      <c r="F644" s="152"/>
      <c r="G644" s="152"/>
      <c r="H644" s="152"/>
      <c r="I644" s="152"/>
      <c r="J644" s="152"/>
      <c r="K644" s="152"/>
      <c r="L644" s="152"/>
      <c r="M644" s="152"/>
      <c r="N644" s="152"/>
      <c r="O644" s="7"/>
      <c r="P644" s="197"/>
      <c r="Q644" s="103"/>
      <c r="S644" s="7"/>
      <c r="T644" s="7"/>
      <c r="U644" s="7"/>
      <c r="V644" s="7"/>
    </row>
    <row r="645" spans="2:22" ht="12.5">
      <c r="B645" s="152"/>
      <c r="C645" s="152"/>
      <c r="D645" s="152"/>
      <c r="E645" s="152"/>
      <c r="F645" s="152"/>
      <c r="G645" s="152"/>
      <c r="H645" s="152"/>
      <c r="I645" s="152"/>
      <c r="J645" s="152"/>
      <c r="K645" s="152"/>
      <c r="L645" s="152"/>
      <c r="M645" s="152"/>
      <c r="N645" s="152"/>
      <c r="O645" s="7"/>
      <c r="P645" s="197"/>
      <c r="Q645" s="103"/>
      <c r="S645" s="7"/>
      <c r="T645" s="7"/>
      <c r="U645" s="7"/>
      <c r="V645" s="7"/>
    </row>
    <row r="646" spans="2:22" ht="12.5">
      <c r="B646" s="152"/>
      <c r="C646" s="152"/>
      <c r="D646" s="152"/>
      <c r="E646" s="152"/>
      <c r="F646" s="152"/>
      <c r="G646" s="152"/>
      <c r="H646" s="152"/>
      <c r="I646" s="152"/>
      <c r="J646" s="152"/>
      <c r="K646" s="152"/>
      <c r="L646" s="152"/>
      <c r="M646" s="152"/>
      <c r="N646" s="152"/>
      <c r="O646" s="7"/>
      <c r="P646" s="197"/>
      <c r="Q646" s="103"/>
      <c r="S646" s="7"/>
      <c r="T646" s="7"/>
      <c r="U646" s="7"/>
      <c r="V646" s="7"/>
    </row>
    <row r="647" spans="2:22" ht="12.5">
      <c r="B647" s="152"/>
      <c r="C647" s="152"/>
      <c r="D647" s="152"/>
      <c r="E647" s="152"/>
      <c r="F647" s="152"/>
      <c r="G647" s="152"/>
      <c r="H647" s="152"/>
      <c r="I647" s="152"/>
      <c r="J647" s="152"/>
      <c r="K647" s="152"/>
      <c r="L647" s="152"/>
      <c r="M647" s="152"/>
      <c r="N647" s="152"/>
      <c r="O647" s="7"/>
      <c r="P647" s="197"/>
      <c r="Q647" s="103"/>
      <c r="S647" s="7"/>
      <c r="T647" s="7"/>
      <c r="U647" s="7"/>
      <c r="V647" s="7"/>
    </row>
    <row r="648" spans="2:22" ht="12.5">
      <c r="B648" s="152"/>
      <c r="C648" s="152"/>
      <c r="D648" s="152"/>
      <c r="E648" s="152"/>
      <c r="F648" s="152"/>
      <c r="G648" s="152"/>
      <c r="H648" s="152"/>
      <c r="I648" s="152"/>
      <c r="J648" s="152"/>
      <c r="K648" s="152"/>
      <c r="L648" s="152"/>
      <c r="M648" s="152"/>
      <c r="N648" s="152"/>
      <c r="O648" s="7"/>
      <c r="P648" s="197"/>
      <c r="Q648" s="103"/>
      <c r="S648" s="7"/>
      <c r="T648" s="7"/>
      <c r="U648" s="7"/>
      <c r="V648" s="7"/>
    </row>
    <row r="649" spans="2:22" ht="12.5">
      <c r="B649" s="152"/>
      <c r="C649" s="152"/>
      <c r="D649" s="152"/>
      <c r="E649" s="152"/>
      <c r="F649" s="152"/>
      <c r="G649" s="152"/>
      <c r="H649" s="152"/>
      <c r="I649" s="152"/>
      <c r="J649" s="152"/>
      <c r="K649" s="152"/>
      <c r="L649" s="152"/>
      <c r="M649" s="152"/>
      <c r="N649" s="152"/>
      <c r="O649" s="7"/>
      <c r="P649" s="197"/>
      <c r="Q649" s="103"/>
      <c r="S649" s="7"/>
      <c r="T649" s="7"/>
      <c r="U649" s="7"/>
      <c r="V649" s="7"/>
    </row>
    <row r="650" spans="2:22" ht="12.5">
      <c r="B650" s="152"/>
      <c r="C650" s="152"/>
      <c r="D650" s="152"/>
      <c r="E650" s="152"/>
      <c r="F650" s="152"/>
      <c r="G650" s="152"/>
      <c r="H650" s="152"/>
      <c r="I650" s="152"/>
      <c r="J650" s="152"/>
      <c r="K650" s="152"/>
      <c r="L650" s="152"/>
      <c r="M650" s="152"/>
      <c r="N650" s="152"/>
      <c r="O650" s="7"/>
      <c r="P650" s="197"/>
      <c r="Q650" s="103"/>
      <c r="S650" s="7"/>
      <c r="T650" s="7"/>
      <c r="U650" s="7"/>
      <c r="V650" s="7"/>
    </row>
    <row r="651" spans="2:22" ht="12.5">
      <c r="B651" s="152"/>
      <c r="C651" s="152"/>
      <c r="D651" s="152"/>
      <c r="E651" s="152"/>
      <c r="F651" s="152"/>
      <c r="G651" s="152"/>
      <c r="H651" s="152"/>
      <c r="I651" s="152"/>
      <c r="J651" s="152"/>
      <c r="K651" s="152"/>
      <c r="L651" s="152"/>
      <c r="M651" s="152"/>
      <c r="N651" s="152"/>
      <c r="O651" s="7"/>
      <c r="P651" s="197"/>
      <c r="Q651" s="103"/>
      <c r="S651" s="7"/>
      <c r="T651" s="7"/>
      <c r="U651" s="7"/>
      <c r="V651" s="7"/>
    </row>
    <row r="652" spans="2:22" ht="12.5">
      <c r="B652" s="152"/>
      <c r="C652" s="152"/>
      <c r="D652" s="152"/>
      <c r="E652" s="152"/>
      <c r="F652" s="152"/>
      <c r="G652" s="152"/>
      <c r="H652" s="152"/>
      <c r="I652" s="152"/>
      <c r="J652" s="152"/>
      <c r="K652" s="152"/>
      <c r="L652" s="152"/>
      <c r="M652" s="152"/>
      <c r="N652" s="152"/>
      <c r="O652" s="7"/>
      <c r="P652" s="197"/>
      <c r="Q652" s="103"/>
      <c r="S652" s="7"/>
      <c r="T652" s="7"/>
      <c r="U652" s="7"/>
      <c r="V652" s="7"/>
    </row>
    <row r="653" spans="2:22" ht="12.5">
      <c r="B653" s="152"/>
      <c r="C653" s="152"/>
      <c r="D653" s="152"/>
      <c r="E653" s="152"/>
      <c r="F653" s="152"/>
      <c r="G653" s="152"/>
      <c r="H653" s="152"/>
      <c r="I653" s="152"/>
      <c r="J653" s="152"/>
      <c r="K653" s="152"/>
      <c r="L653" s="152"/>
      <c r="M653" s="152"/>
      <c r="N653" s="152"/>
      <c r="O653" s="7"/>
      <c r="P653" s="197"/>
      <c r="Q653" s="103"/>
      <c r="S653" s="7"/>
      <c r="T653" s="7"/>
      <c r="U653" s="7"/>
      <c r="V653" s="7"/>
    </row>
    <row r="654" spans="2:22" ht="12.5">
      <c r="B654" s="152"/>
      <c r="C654" s="152"/>
      <c r="D654" s="152"/>
      <c r="E654" s="152"/>
      <c r="F654" s="152"/>
      <c r="G654" s="152"/>
      <c r="H654" s="152"/>
      <c r="I654" s="152"/>
      <c r="J654" s="152"/>
      <c r="K654" s="152"/>
      <c r="L654" s="152"/>
      <c r="M654" s="152"/>
      <c r="N654" s="152"/>
      <c r="O654" s="7"/>
      <c r="P654" s="197"/>
      <c r="Q654" s="103"/>
      <c r="S654" s="7"/>
      <c r="T654" s="7"/>
      <c r="U654" s="7"/>
      <c r="V654" s="7"/>
    </row>
    <row r="655" spans="2:22" ht="12.5">
      <c r="B655" s="152"/>
      <c r="C655" s="152"/>
      <c r="D655" s="152"/>
      <c r="E655" s="152"/>
      <c r="F655" s="152"/>
      <c r="G655" s="152"/>
      <c r="H655" s="152"/>
      <c r="I655" s="152"/>
      <c r="J655" s="152"/>
      <c r="K655" s="152"/>
      <c r="L655" s="152"/>
      <c r="M655" s="152"/>
      <c r="N655" s="152"/>
      <c r="O655" s="7"/>
      <c r="P655" s="197"/>
      <c r="Q655" s="103"/>
      <c r="S655" s="7"/>
      <c r="T655" s="7"/>
      <c r="U655" s="7"/>
      <c r="V655" s="7"/>
    </row>
    <row r="656" spans="2:22" ht="12.5">
      <c r="B656" s="152"/>
      <c r="C656" s="152"/>
      <c r="D656" s="152"/>
      <c r="E656" s="152"/>
      <c r="F656" s="152"/>
      <c r="G656" s="152"/>
      <c r="H656" s="152"/>
      <c r="I656" s="152"/>
      <c r="J656" s="152"/>
      <c r="K656" s="152"/>
      <c r="L656" s="152"/>
      <c r="M656" s="152"/>
      <c r="N656" s="152"/>
      <c r="O656" s="7"/>
      <c r="P656" s="197"/>
      <c r="Q656" s="103"/>
      <c r="S656" s="7"/>
      <c r="T656" s="7"/>
      <c r="U656" s="7"/>
      <c r="V656" s="7"/>
    </row>
    <row r="657" spans="2:22" ht="12.5">
      <c r="B657" s="152"/>
      <c r="C657" s="152"/>
      <c r="D657" s="152"/>
      <c r="E657" s="152"/>
      <c r="F657" s="152"/>
      <c r="G657" s="152"/>
      <c r="H657" s="152"/>
      <c r="I657" s="152"/>
      <c r="J657" s="152"/>
      <c r="K657" s="152"/>
      <c r="L657" s="152"/>
      <c r="M657" s="152"/>
      <c r="N657" s="152"/>
      <c r="O657" s="7"/>
      <c r="P657" s="197"/>
      <c r="Q657" s="103"/>
      <c r="S657" s="7"/>
      <c r="T657" s="7"/>
      <c r="U657" s="7"/>
      <c r="V657" s="7"/>
    </row>
    <row r="658" spans="2:22" ht="12.5">
      <c r="B658" s="152"/>
      <c r="C658" s="152"/>
      <c r="D658" s="152"/>
      <c r="E658" s="152"/>
      <c r="F658" s="152"/>
      <c r="G658" s="152"/>
      <c r="H658" s="152"/>
      <c r="I658" s="152"/>
      <c r="J658" s="152"/>
      <c r="K658" s="152"/>
      <c r="L658" s="152"/>
      <c r="M658" s="152"/>
      <c r="N658" s="152"/>
      <c r="O658" s="7"/>
      <c r="P658" s="197"/>
      <c r="Q658" s="103"/>
      <c r="S658" s="7"/>
      <c r="T658" s="7"/>
      <c r="U658" s="7"/>
      <c r="V658" s="7"/>
    </row>
    <row r="659" spans="2:22" ht="12.5">
      <c r="B659" s="152"/>
      <c r="C659" s="152"/>
      <c r="D659" s="152"/>
      <c r="E659" s="152"/>
      <c r="F659" s="152"/>
      <c r="G659" s="152"/>
      <c r="H659" s="152"/>
      <c r="I659" s="152"/>
      <c r="J659" s="152"/>
      <c r="K659" s="152"/>
      <c r="L659" s="152"/>
      <c r="M659" s="152"/>
      <c r="N659" s="152"/>
      <c r="O659" s="7"/>
      <c r="P659" s="197"/>
      <c r="Q659" s="103"/>
      <c r="S659" s="7"/>
      <c r="T659" s="7"/>
      <c r="U659" s="7"/>
      <c r="V659" s="7"/>
    </row>
    <row r="660" spans="2:22" ht="12.5">
      <c r="B660" s="152"/>
      <c r="C660" s="152"/>
      <c r="D660" s="152"/>
      <c r="E660" s="152"/>
      <c r="F660" s="152"/>
      <c r="G660" s="152"/>
      <c r="H660" s="152"/>
      <c r="I660" s="152"/>
      <c r="J660" s="152"/>
      <c r="K660" s="152"/>
      <c r="L660" s="152"/>
      <c r="M660" s="152"/>
      <c r="N660" s="152"/>
      <c r="O660" s="7"/>
      <c r="P660" s="197"/>
      <c r="Q660" s="103"/>
      <c r="S660" s="7"/>
      <c r="T660" s="7"/>
      <c r="U660" s="7"/>
      <c r="V660" s="7"/>
    </row>
    <row r="661" spans="2:22" ht="12.5">
      <c r="B661" s="152"/>
      <c r="C661" s="152"/>
      <c r="D661" s="152"/>
      <c r="E661" s="152"/>
      <c r="F661" s="152"/>
      <c r="G661" s="152"/>
      <c r="H661" s="152"/>
      <c r="I661" s="152"/>
      <c r="J661" s="152"/>
      <c r="K661" s="152"/>
      <c r="L661" s="152"/>
      <c r="M661" s="152"/>
      <c r="N661" s="152"/>
      <c r="O661" s="7"/>
      <c r="P661" s="197"/>
      <c r="Q661" s="103"/>
      <c r="S661" s="7"/>
      <c r="T661" s="7"/>
      <c r="U661" s="7"/>
      <c r="V661" s="7"/>
    </row>
    <row r="662" spans="2:22" ht="12.5">
      <c r="B662" s="152"/>
      <c r="C662" s="152"/>
      <c r="D662" s="152"/>
      <c r="E662" s="152"/>
      <c r="F662" s="152"/>
      <c r="G662" s="152"/>
      <c r="H662" s="152"/>
      <c r="I662" s="152"/>
      <c r="J662" s="152"/>
      <c r="K662" s="152"/>
      <c r="L662" s="152"/>
      <c r="M662" s="152"/>
      <c r="N662" s="152"/>
      <c r="O662" s="7"/>
      <c r="P662" s="197"/>
      <c r="Q662" s="103"/>
      <c r="S662" s="7"/>
      <c r="T662" s="7"/>
      <c r="U662" s="7"/>
      <c r="V662" s="7"/>
    </row>
    <row r="663" spans="2:22" ht="12.5">
      <c r="B663" s="152"/>
      <c r="C663" s="152"/>
      <c r="D663" s="152"/>
      <c r="E663" s="152"/>
      <c r="F663" s="152"/>
      <c r="G663" s="152"/>
      <c r="H663" s="152"/>
      <c r="I663" s="152"/>
      <c r="J663" s="152"/>
      <c r="K663" s="152"/>
      <c r="L663" s="152"/>
      <c r="M663" s="152"/>
      <c r="N663" s="152"/>
      <c r="O663" s="7"/>
      <c r="P663" s="197"/>
      <c r="Q663" s="103"/>
      <c r="S663" s="7"/>
      <c r="T663" s="7"/>
      <c r="U663" s="7"/>
      <c r="V663" s="7"/>
    </row>
    <row r="664" spans="2:22" ht="12.5">
      <c r="B664" s="152"/>
      <c r="C664" s="152"/>
      <c r="D664" s="152"/>
      <c r="E664" s="152"/>
      <c r="F664" s="152"/>
      <c r="G664" s="152"/>
      <c r="H664" s="152"/>
      <c r="I664" s="152"/>
      <c r="J664" s="152"/>
      <c r="K664" s="152"/>
      <c r="L664" s="152"/>
      <c r="M664" s="152"/>
      <c r="N664" s="152"/>
      <c r="O664" s="7"/>
      <c r="P664" s="197"/>
      <c r="Q664" s="103"/>
      <c r="S664" s="7"/>
      <c r="T664" s="7"/>
      <c r="U664" s="7"/>
      <c r="V664" s="7"/>
    </row>
    <row r="665" spans="2:22" ht="12.5">
      <c r="B665" s="152"/>
      <c r="C665" s="152"/>
      <c r="D665" s="152"/>
      <c r="E665" s="152"/>
      <c r="F665" s="152"/>
      <c r="G665" s="152"/>
      <c r="H665" s="152"/>
      <c r="I665" s="152"/>
      <c r="J665" s="152"/>
      <c r="K665" s="152"/>
      <c r="L665" s="152"/>
      <c r="M665" s="152"/>
      <c r="N665" s="152"/>
      <c r="O665" s="7"/>
      <c r="P665" s="197"/>
      <c r="Q665" s="103"/>
      <c r="S665" s="7"/>
      <c r="T665" s="7"/>
      <c r="U665" s="7"/>
      <c r="V665" s="7"/>
    </row>
    <row r="666" spans="2:22" ht="12.5">
      <c r="B666" s="152"/>
      <c r="C666" s="152"/>
      <c r="D666" s="152"/>
      <c r="E666" s="152"/>
      <c r="F666" s="152"/>
      <c r="G666" s="152"/>
      <c r="H666" s="152"/>
      <c r="I666" s="152"/>
      <c r="J666" s="152"/>
      <c r="K666" s="152"/>
      <c r="L666" s="152"/>
      <c r="M666" s="152"/>
      <c r="N666" s="152"/>
      <c r="O666" s="7"/>
      <c r="P666" s="197"/>
      <c r="Q666" s="103"/>
      <c r="S666" s="7"/>
      <c r="T666" s="7"/>
      <c r="U666" s="7"/>
      <c r="V666" s="7"/>
    </row>
    <row r="667" spans="2:22" ht="12.5">
      <c r="B667" s="152"/>
      <c r="C667" s="152"/>
      <c r="D667" s="152"/>
      <c r="E667" s="152"/>
      <c r="F667" s="152"/>
      <c r="G667" s="152"/>
      <c r="H667" s="152"/>
      <c r="I667" s="152"/>
      <c r="J667" s="152"/>
      <c r="K667" s="152"/>
      <c r="L667" s="152"/>
      <c r="M667" s="152"/>
      <c r="N667" s="152"/>
      <c r="O667" s="7"/>
      <c r="P667" s="197"/>
      <c r="Q667" s="103"/>
      <c r="S667" s="7"/>
      <c r="T667" s="7"/>
      <c r="U667" s="7"/>
      <c r="V667" s="7"/>
    </row>
    <row r="668" spans="2:22" ht="12.5">
      <c r="B668" s="152"/>
      <c r="C668" s="152"/>
      <c r="D668" s="152"/>
      <c r="E668" s="152"/>
      <c r="F668" s="152"/>
      <c r="G668" s="152"/>
      <c r="H668" s="152"/>
      <c r="I668" s="152"/>
      <c r="J668" s="152"/>
      <c r="K668" s="152"/>
      <c r="L668" s="152"/>
      <c r="M668" s="152"/>
      <c r="N668" s="152"/>
      <c r="O668" s="7"/>
      <c r="P668" s="197"/>
      <c r="Q668" s="103"/>
      <c r="S668" s="7"/>
      <c r="T668" s="7"/>
      <c r="U668" s="7"/>
      <c r="V668" s="7"/>
    </row>
    <row r="669" spans="2:22" ht="12.5">
      <c r="B669" s="152"/>
      <c r="C669" s="152"/>
      <c r="D669" s="152"/>
      <c r="E669" s="152"/>
      <c r="F669" s="152"/>
      <c r="G669" s="152"/>
      <c r="H669" s="152"/>
      <c r="I669" s="152"/>
      <c r="J669" s="152"/>
      <c r="K669" s="152"/>
      <c r="L669" s="152"/>
      <c r="M669" s="152"/>
      <c r="N669" s="152"/>
      <c r="O669" s="7"/>
      <c r="P669" s="197"/>
      <c r="Q669" s="103"/>
      <c r="S669" s="7"/>
      <c r="T669" s="7"/>
      <c r="U669" s="7"/>
      <c r="V669" s="7"/>
    </row>
    <row r="670" spans="2:22" ht="12.5">
      <c r="B670" s="152"/>
      <c r="C670" s="152"/>
      <c r="D670" s="152"/>
      <c r="E670" s="152"/>
      <c r="F670" s="152"/>
      <c r="G670" s="152"/>
      <c r="H670" s="152"/>
      <c r="I670" s="152"/>
      <c r="J670" s="152"/>
      <c r="K670" s="152"/>
      <c r="L670" s="152"/>
      <c r="M670" s="152"/>
      <c r="N670" s="152"/>
      <c r="O670" s="7"/>
      <c r="P670" s="197"/>
      <c r="Q670" s="103"/>
      <c r="S670" s="7"/>
      <c r="T670" s="7"/>
      <c r="U670" s="7"/>
      <c r="V670" s="7"/>
    </row>
    <row r="671" spans="2:22" ht="12.5">
      <c r="B671" s="152"/>
      <c r="C671" s="152"/>
      <c r="D671" s="152"/>
      <c r="E671" s="152"/>
      <c r="F671" s="152"/>
      <c r="G671" s="152"/>
      <c r="H671" s="152"/>
      <c r="I671" s="152"/>
      <c r="J671" s="152"/>
      <c r="K671" s="152"/>
      <c r="L671" s="152"/>
      <c r="M671" s="152"/>
      <c r="N671" s="152"/>
      <c r="O671" s="7"/>
      <c r="P671" s="197"/>
      <c r="Q671" s="103"/>
      <c r="S671" s="7"/>
      <c r="T671" s="7"/>
      <c r="U671" s="7"/>
      <c r="V671" s="7"/>
    </row>
    <row r="672" spans="2:22" ht="12.5">
      <c r="B672" s="152"/>
      <c r="C672" s="152"/>
      <c r="D672" s="152"/>
      <c r="E672" s="152"/>
      <c r="F672" s="152"/>
      <c r="G672" s="152"/>
      <c r="H672" s="152"/>
      <c r="I672" s="152"/>
      <c r="J672" s="152"/>
      <c r="K672" s="152"/>
      <c r="L672" s="152"/>
      <c r="M672" s="152"/>
      <c r="N672" s="152"/>
      <c r="O672" s="7"/>
      <c r="P672" s="197"/>
      <c r="Q672" s="103"/>
      <c r="S672" s="7"/>
      <c r="T672" s="7"/>
      <c r="U672" s="7"/>
      <c r="V672" s="7"/>
    </row>
    <row r="673" spans="2:22" ht="12.5">
      <c r="B673" s="152"/>
      <c r="C673" s="152"/>
      <c r="D673" s="152"/>
      <c r="E673" s="152"/>
      <c r="F673" s="152"/>
      <c r="G673" s="152"/>
      <c r="H673" s="152"/>
      <c r="I673" s="152"/>
      <c r="J673" s="152"/>
      <c r="K673" s="152"/>
      <c r="L673" s="152"/>
      <c r="M673" s="152"/>
      <c r="N673" s="152"/>
      <c r="O673" s="7"/>
      <c r="P673" s="197"/>
      <c r="Q673" s="103"/>
      <c r="S673" s="7"/>
      <c r="T673" s="7"/>
      <c r="U673" s="7"/>
      <c r="V673" s="7"/>
    </row>
    <row r="674" spans="2:22" ht="12.5">
      <c r="B674" s="152"/>
      <c r="C674" s="152"/>
      <c r="D674" s="152"/>
      <c r="E674" s="152"/>
      <c r="F674" s="152"/>
      <c r="G674" s="152"/>
      <c r="H674" s="152"/>
      <c r="I674" s="152"/>
      <c r="J674" s="152"/>
      <c r="K674" s="152"/>
      <c r="L674" s="152"/>
      <c r="M674" s="152"/>
      <c r="N674" s="152"/>
      <c r="O674" s="7"/>
      <c r="P674" s="197"/>
      <c r="Q674" s="103"/>
      <c r="S674" s="7"/>
      <c r="T674" s="7"/>
      <c r="U674" s="7"/>
      <c r="V674" s="7"/>
    </row>
    <row r="675" spans="2:22" ht="12.5">
      <c r="B675" s="152"/>
      <c r="C675" s="152"/>
      <c r="D675" s="152"/>
      <c r="E675" s="152"/>
      <c r="F675" s="152"/>
      <c r="G675" s="152"/>
      <c r="H675" s="152"/>
      <c r="I675" s="152"/>
      <c r="J675" s="152"/>
      <c r="K675" s="152"/>
      <c r="L675" s="152"/>
      <c r="M675" s="152"/>
      <c r="N675" s="152"/>
      <c r="O675" s="7"/>
      <c r="P675" s="197"/>
      <c r="Q675" s="103"/>
      <c r="S675" s="7"/>
      <c r="T675" s="7"/>
      <c r="U675" s="7"/>
      <c r="V675" s="7"/>
    </row>
    <row r="676" spans="2:22" ht="12.5">
      <c r="B676" s="152"/>
      <c r="C676" s="152"/>
      <c r="D676" s="152"/>
      <c r="E676" s="152"/>
      <c r="F676" s="152"/>
      <c r="G676" s="152"/>
      <c r="H676" s="152"/>
      <c r="I676" s="152"/>
      <c r="J676" s="152"/>
      <c r="K676" s="152"/>
      <c r="L676" s="152"/>
      <c r="M676" s="152"/>
      <c r="N676" s="152"/>
      <c r="O676" s="7"/>
      <c r="P676" s="197"/>
      <c r="Q676" s="103"/>
      <c r="S676" s="7"/>
      <c r="T676" s="7"/>
      <c r="U676" s="7"/>
      <c r="V676" s="7"/>
    </row>
    <row r="677" spans="2:22" ht="12.5">
      <c r="B677" s="152"/>
      <c r="C677" s="152"/>
      <c r="D677" s="152"/>
      <c r="E677" s="152"/>
      <c r="F677" s="152"/>
      <c r="G677" s="152"/>
      <c r="H677" s="152"/>
      <c r="I677" s="152"/>
      <c r="J677" s="152"/>
      <c r="K677" s="152"/>
      <c r="L677" s="152"/>
      <c r="M677" s="152"/>
      <c r="N677" s="152"/>
      <c r="O677" s="7"/>
      <c r="P677" s="197"/>
      <c r="Q677" s="103"/>
      <c r="S677" s="7"/>
      <c r="T677" s="7"/>
      <c r="U677" s="7"/>
      <c r="V677" s="7"/>
    </row>
    <row r="678" spans="2:22" ht="12.5">
      <c r="B678" s="152"/>
      <c r="C678" s="152"/>
      <c r="D678" s="152"/>
      <c r="E678" s="152"/>
      <c r="F678" s="152"/>
      <c r="G678" s="152"/>
      <c r="H678" s="152"/>
      <c r="I678" s="152"/>
      <c r="J678" s="152"/>
      <c r="K678" s="152"/>
      <c r="L678" s="152"/>
      <c r="M678" s="152"/>
      <c r="N678" s="152"/>
      <c r="O678" s="7"/>
      <c r="P678" s="197"/>
      <c r="Q678" s="103"/>
      <c r="S678" s="7"/>
      <c r="T678" s="7"/>
      <c r="U678" s="7"/>
      <c r="V678" s="7"/>
    </row>
    <row r="679" spans="2:22" ht="12.5">
      <c r="B679" s="152"/>
      <c r="C679" s="152"/>
      <c r="D679" s="152"/>
      <c r="E679" s="152"/>
      <c r="F679" s="152"/>
      <c r="G679" s="152"/>
      <c r="H679" s="152"/>
      <c r="I679" s="152"/>
      <c r="J679" s="152"/>
      <c r="K679" s="152"/>
      <c r="L679" s="152"/>
      <c r="M679" s="152"/>
      <c r="N679" s="152"/>
      <c r="O679" s="7"/>
      <c r="P679" s="197"/>
      <c r="Q679" s="103"/>
      <c r="S679" s="7"/>
      <c r="T679" s="7"/>
      <c r="U679" s="7"/>
      <c r="V679" s="7"/>
    </row>
    <row r="680" spans="2:22" ht="12.5">
      <c r="B680" s="152"/>
      <c r="C680" s="152"/>
      <c r="D680" s="152"/>
      <c r="E680" s="152"/>
      <c r="F680" s="152"/>
      <c r="G680" s="152"/>
      <c r="H680" s="152"/>
      <c r="I680" s="152"/>
      <c r="J680" s="152"/>
      <c r="K680" s="152"/>
      <c r="L680" s="152"/>
      <c r="M680" s="152"/>
      <c r="N680" s="152"/>
      <c r="O680" s="7"/>
      <c r="P680" s="197"/>
      <c r="Q680" s="103"/>
      <c r="S680" s="7"/>
      <c r="T680" s="7"/>
      <c r="U680" s="7"/>
      <c r="V680" s="7"/>
    </row>
    <row r="681" spans="2:22" ht="12.5">
      <c r="B681" s="152"/>
      <c r="C681" s="152"/>
      <c r="D681" s="152"/>
      <c r="E681" s="152"/>
      <c r="F681" s="152"/>
      <c r="G681" s="152"/>
      <c r="H681" s="152"/>
      <c r="I681" s="152"/>
      <c r="J681" s="152"/>
      <c r="K681" s="152"/>
      <c r="L681" s="152"/>
      <c r="M681" s="152"/>
      <c r="N681" s="152"/>
      <c r="O681" s="7"/>
      <c r="P681" s="197"/>
      <c r="Q681" s="103"/>
      <c r="S681" s="7"/>
      <c r="T681" s="7"/>
      <c r="U681" s="7"/>
      <c r="V681" s="7"/>
    </row>
    <row r="682" spans="2:22" ht="12.5">
      <c r="B682" s="152"/>
      <c r="C682" s="152"/>
      <c r="D682" s="152"/>
      <c r="E682" s="152"/>
      <c r="F682" s="152"/>
      <c r="G682" s="152"/>
      <c r="H682" s="152"/>
      <c r="I682" s="152"/>
      <c r="J682" s="152"/>
      <c r="K682" s="152"/>
      <c r="L682" s="152"/>
      <c r="M682" s="152"/>
      <c r="N682" s="152"/>
      <c r="O682" s="7"/>
      <c r="P682" s="197"/>
      <c r="Q682" s="103"/>
      <c r="S682" s="7"/>
      <c r="T682" s="7"/>
      <c r="U682" s="7"/>
      <c r="V682" s="7"/>
    </row>
    <row r="683" spans="2:22" ht="12.5">
      <c r="B683" s="152"/>
      <c r="C683" s="152"/>
      <c r="D683" s="152"/>
      <c r="E683" s="152"/>
      <c r="F683" s="152"/>
      <c r="G683" s="152"/>
      <c r="H683" s="152"/>
      <c r="I683" s="152"/>
      <c r="J683" s="152"/>
      <c r="K683" s="152"/>
      <c r="L683" s="152"/>
      <c r="M683" s="152"/>
      <c r="N683" s="152"/>
      <c r="O683" s="7"/>
      <c r="P683" s="197"/>
      <c r="Q683" s="103"/>
      <c r="S683" s="7"/>
      <c r="T683" s="7"/>
      <c r="U683" s="7"/>
      <c r="V683" s="7"/>
    </row>
    <row r="684" spans="2:22" ht="12.5">
      <c r="B684" s="152"/>
      <c r="C684" s="152"/>
      <c r="D684" s="152"/>
      <c r="E684" s="152"/>
      <c r="F684" s="152"/>
      <c r="G684" s="152"/>
      <c r="H684" s="152"/>
      <c r="I684" s="152"/>
      <c r="J684" s="152"/>
      <c r="K684" s="152"/>
      <c r="L684" s="152"/>
      <c r="M684" s="152"/>
      <c r="N684" s="152"/>
      <c r="O684" s="7"/>
      <c r="P684" s="197"/>
      <c r="Q684" s="103"/>
      <c r="S684" s="7"/>
      <c r="T684" s="7"/>
      <c r="U684" s="7"/>
      <c r="V684" s="7"/>
    </row>
    <row r="685" spans="2:22" ht="12.5">
      <c r="B685" s="152"/>
      <c r="C685" s="152"/>
      <c r="D685" s="152"/>
      <c r="E685" s="152"/>
      <c r="F685" s="152"/>
      <c r="G685" s="152"/>
      <c r="H685" s="152"/>
      <c r="I685" s="152"/>
      <c r="J685" s="152"/>
      <c r="K685" s="152"/>
      <c r="L685" s="152"/>
      <c r="M685" s="152"/>
      <c r="N685" s="152"/>
      <c r="O685" s="7"/>
      <c r="P685" s="197"/>
      <c r="Q685" s="103"/>
      <c r="S685" s="7"/>
      <c r="T685" s="7"/>
      <c r="U685" s="7"/>
      <c r="V685" s="7"/>
    </row>
    <row r="686" spans="2:22" ht="12.5">
      <c r="B686" s="152"/>
      <c r="C686" s="152"/>
      <c r="D686" s="152"/>
      <c r="E686" s="152"/>
      <c r="F686" s="152"/>
      <c r="G686" s="152"/>
      <c r="H686" s="152"/>
      <c r="I686" s="152"/>
      <c r="J686" s="152"/>
      <c r="K686" s="152"/>
      <c r="L686" s="152"/>
      <c r="M686" s="152"/>
      <c r="N686" s="152"/>
      <c r="O686" s="7"/>
      <c r="P686" s="197"/>
      <c r="Q686" s="103"/>
      <c r="S686" s="7"/>
      <c r="T686" s="7"/>
      <c r="U686" s="7"/>
      <c r="V686" s="7"/>
    </row>
    <row r="687" spans="2:22" ht="12.5">
      <c r="B687" s="152"/>
      <c r="C687" s="152"/>
      <c r="D687" s="152"/>
      <c r="E687" s="152"/>
      <c r="F687" s="152"/>
      <c r="G687" s="152"/>
      <c r="H687" s="152"/>
      <c r="I687" s="152"/>
      <c r="J687" s="152"/>
      <c r="K687" s="152"/>
      <c r="L687" s="152"/>
      <c r="M687" s="152"/>
      <c r="N687" s="152"/>
      <c r="O687" s="7"/>
      <c r="P687" s="197"/>
      <c r="Q687" s="103"/>
      <c r="S687" s="7"/>
      <c r="T687" s="7"/>
      <c r="U687" s="7"/>
      <c r="V687" s="7"/>
    </row>
    <row r="688" spans="2:22" ht="12.5">
      <c r="B688" s="152"/>
      <c r="C688" s="152"/>
      <c r="D688" s="152"/>
      <c r="E688" s="152"/>
      <c r="F688" s="152"/>
      <c r="G688" s="152"/>
      <c r="H688" s="152"/>
      <c r="I688" s="152"/>
      <c r="J688" s="152"/>
      <c r="K688" s="152"/>
      <c r="L688" s="152"/>
      <c r="M688" s="152"/>
      <c r="N688" s="152"/>
      <c r="O688" s="7"/>
      <c r="P688" s="197"/>
      <c r="Q688" s="103"/>
      <c r="S688" s="7"/>
      <c r="T688" s="7"/>
      <c r="U688" s="7"/>
      <c r="V688" s="7"/>
    </row>
    <row r="689" spans="2:22" ht="12.5">
      <c r="B689" s="152"/>
      <c r="C689" s="152"/>
      <c r="D689" s="152"/>
      <c r="E689" s="152"/>
      <c r="F689" s="152"/>
      <c r="G689" s="152"/>
      <c r="H689" s="152"/>
      <c r="I689" s="152"/>
      <c r="J689" s="152"/>
      <c r="K689" s="152"/>
      <c r="L689" s="152"/>
      <c r="M689" s="152"/>
      <c r="N689" s="152"/>
      <c r="O689" s="7"/>
      <c r="P689" s="197"/>
      <c r="Q689" s="103"/>
      <c r="S689" s="7"/>
      <c r="T689" s="7"/>
      <c r="U689" s="7"/>
      <c r="V689" s="7"/>
    </row>
    <row r="690" spans="2:22" ht="12.5">
      <c r="B690" s="152"/>
      <c r="C690" s="152"/>
      <c r="D690" s="152"/>
      <c r="E690" s="152"/>
      <c r="F690" s="152"/>
      <c r="G690" s="152"/>
      <c r="H690" s="152"/>
      <c r="I690" s="152"/>
      <c r="J690" s="152"/>
      <c r="K690" s="152"/>
      <c r="L690" s="152"/>
      <c r="M690" s="152"/>
      <c r="N690" s="152"/>
      <c r="O690" s="7"/>
      <c r="P690" s="197"/>
      <c r="Q690" s="103"/>
      <c r="S690" s="7"/>
      <c r="T690" s="7"/>
      <c r="U690" s="7"/>
      <c r="V690" s="7"/>
    </row>
    <row r="691" spans="2:22" ht="12.5">
      <c r="B691" s="152"/>
      <c r="C691" s="152"/>
      <c r="D691" s="152"/>
      <c r="E691" s="152"/>
      <c r="F691" s="152"/>
      <c r="G691" s="152"/>
      <c r="H691" s="152"/>
      <c r="I691" s="152"/>
      <c r="J691" s="152"/>
      <c r="K691" s="152"/>
      <c r="L691" s="152"/>
      <c r="M691" s="152"/>
      <c r="N691" s="152"/>
      <c r="O691" s="7"/>
      <c r="P691" s="197"/>
      <c r="Q691" s="103"/>
      <c r="S691" s="7"/>
      <c r="T691" s="7"/>
      <c r="U691" s="7"/>
      <c r="V691" s="7"/>
    </row>
    <row r="692" spans="2:22" ht="12.5">
      <c r="B692" s="152"/>
      <c r="C692" s="152"/>
      <c r="D692" s="152"/>
      <c r="E692" s="152"/>
      <c r="F692" s="152"/>
      <c r="G692" s="152"/>
      <c r="H692" s="152"/>
      <c r="I692" s="152"/>
      <c r="J692" s="152"/>
      <c r="K692" s="152"/>
      <c r="L692" s="152"/>
      <c r="M692" s="152"/>
      <c r="N692" s="152"/>
      <c r="O692" s="7"/>
      <c r="P692" s="197"/>
      <c r="Q692" s="103"/>
      <c r="S692" s="7"/>
      <c r="T692" s="7"/>
      <c r="U692" s="7"/>
      <c r="V692" s="7"/>
    </row>
    <row r="693" spans="2:22" ht="12.5">
      <c r="B693" s="152"/>
      <c r="C693" s="152"/>
      <c r="D693" s="152"/>
      <c r="E693" s="152"/>
      <c r="F693" s="152"/>
      <c r="G693" s="152"/>
      <c r="H693" s="152"/>
      <c r="I693" s="152"/>
      <c r="J693" s="152"/>
      <c r="K693" s="152"/>
      <c r="L693" s="152"/>
      <c r="M693" s="152"/>
      <c r="N693" s="152"/>
      <c r="O693" s="7"/>
      <c r="P693" s="197"/>
      <c r="Q693" s="103"/>
      <c r="S693" s="7"/>
      <c r="T693" s="7"/>
      <c r="U693" s="7"/>
      <c r="V693" s="7"/>
    </row>
    <row r="694" spans="2:22" ht="12.5">
      <c r="B694" s="152"/>
      <c r="C694" s="152"/>
      <c r="D694" s="152"/>
      <c r="E694" s="152"/>
      <c r="F694" s="152"/>
      <c r="G694" s="152"/>
      <c r="H694" s="152"/>
      <c r="I694" s="152"/>
      <c r="J694" s="152"/>
      <c r="K694" s="152"/>
      <c r="L694" s="152"/>
      <c r="M694" s="152"/>
      <c r="N694" s="152"/>
      <c r="O694" s="7"/>
      <c r="P694" s="197"/>
      <c r="Q694" s="103"/>
      <c r="S694" s="7"/>
      <c r="T694" s="7"/>
      <c r="U694" s="7"/>
      <c r="V694" s="7"/>
    </row>
    <row r="695" spans="2:22" ht="12.5">
      <c r="B695" s="152"/>
      <c r="C695" s="152"/>
      <c r="D695" s="152"/>
      <c r="E695" s="152"/>
      <c r="F695" s="152"/>
      <c r="G695" s="152"/>
      <c r="H695" s="152"/>
      <c r="I695" s="152"/>
      <c r="J695" s="152"/>
      <c r="K695" s="152"/>
      <c r="L695" s="152"/>
      <c r="M695" s="152"/>
      <c r="N695" s="152"/>
      <c r="O695" s="7"/>
      <c r="P695" s="197"/>
      <c r="Q695" s="103"/>
      <c r="S695" s="7"/>
      <c r="T695" s="7"/>
      <c r="U695" s="7"/>
      <c r="V695" s="7"/>
    </row>
    <row r="696" spans="2:22" ht="12.5">
      <c r="B696" s="152"/>
      <c r="C696" s="152"/>
      <c r="D696" s="152"/>
      <c r="E696" s="152"/>
      <c r="F696" s="152"/>
      <c r="G696" s="152"/>
      <c r="H696" s="152"/>
      <c r="I696" s="152"/>
      <c r="J696" s="152"/>
      <c r="K696" s="152"/>
      <c r="L696" s="152"/>
      <c r="M696" s="152"/>
      <c r="N696" s="152"/>
      <c r="O696" s="7"/>
      <c r="P696" s="197"/>
      <c r="Q696" s="103"/>
      <c r="S696" s="7"/>
      <c r="T696" s="7"/>
      <c r="U696" s="7"/>
      <c r="V696" s="7"/>
    </row>
    <row r="697" spans="2:22" ht="12.5">
      <c r="B697" s="152"/>
      <c r="C697" s="152"/>
      <c r="D697" s="152"/>
      <c r="E697" s="152"/>
      <c r="F697" s="152"/>
      <c r="G697" s="152"/>
      <c r="H697" s="152"/>
      <c r="I697" s="152"/>
      <c r="J697" s="152"/>
      <c r="K697" s="152"/>
      <c r="L697" s="152"/>
      <c r="M697" s="152"/>
      <c r="N697" s="152"/>
      <c r="O697" s="7"/>
      <c r="P697" s="197"/>
      <c r="Q697" s="103"/>
      <c r="S697" s="7"/>
      <c r="T697" s="7"/>
      <c r="U697" s="7"/>
      <c r="V697" s="7"/>
    </row>
    <row r="698" spans="2:22" ht="12.5">
      <c r="B698" s="152"/>
      <c r="C698" s="152"/>
      <c r="D698" s="152"/>
      <c r="E698" s="152"/>
      <c r="F698" s="152"/>
      <c r="G698" s="152"/>
      <c r="H698" s="152"/>
      <c r="I698" s="152"/>
      <c r="J698" s="152"/>
      <c r="K698" s="152"/>
      <c r="L698" s="152"/>
      <c r="M698" s="152"/>
      <c r="N698" s="152"/>
      <c r="O698" s="7"/>
      <c r="P698" s="197"/>
      <c r="Q698" s="103"/>
      <c r="S698" s="7"/>
      <c r="T698" s="7"/>
      <c r="U698" s="7"/>
      <c r="V698" s="7"/>
    </row>
    <row r="699" spans="2:22" ht="12.5">
      <c r="B699" s="152"/>
      <c r="C699" s="152"/>
      <c r="D699" s="152"/>
      <c r="E699" s="152"/>
      <c r="F699" s="152"/>
      <c r="G699" s="152"/>
      <c r="H699" s="152"/>
      <c r="I699" s="152"/>
      <c r="J699" s="152"/>
      <c r="K699" s="152"/>
      <c r="L699" s="152"/>
      <c r="M699" s="152"/>
      <c r="N699" s="152"/>
      <c r="O699" s="7"/>
      <c r="P699" s="197"/>
      <c r="Q699" s="103"/>
      <c r="S699" s="7"/>
      <c r="T699" s="7"/>
      <c r="U699" s="7"/>
      <c r="V699" s="7"/>
    </row>
    <row r="700" spans="2:22" ht="12.5">
      <c r="B700" s="152"/>
      <c r="C700" s="152"/>
      <c r="D700" s="152"/>
      <c r="E700" s="152"/>
      <c r="F700" s="152"/>
      <c r="G700" s="152"/>
      <c r="H700" s="152"/>
      <c r="I700" s="152"/>
      <c r="J700" s="152"/>
      <c r="K700" s="152"/>
      <c r="L700" s="152"/>
      <c r="M700" s="152"/>
      <c r="N700" s="152"/>
      <c r="O700" s="7"/>
      <c r="P700" s="197"/>
      <c r="Q700" s="103"/>
      <c r="S700" s="7"/>
      <c r="T700" s="7"/>
      <c r="U700" s="7"/>
      <c r="V700" s="7"/>
    </row>
    <row r="701" spans="2:22" ht="12.5">
      <c r="B701" s="152"/>
      <c r="C701" s="152"/>
      <c r="D701" s="152"/>
      <c r="E701" s="152"/>
      <c r="F701" s="152"/>
      <c r="G701" s="152"/>
      <c r="H701" s="152"/>
      <c r="I701" s="152"/>
      <c r="J701" s="152"/>
      <c r="K701" s="152"/>
      <c r="L701" s="152"/>
      <c r="M701" s="152"/>
      <c r="N701" s="152"/>
      <c r="O701" s="7"/>
      <c r="P701" s="197"/>
      <c r="Q701" s="103"/>
      <c r="S701" s="7"/>
      <c r="T701" s="7"/>
      <c r="U701" s="7"/>
      <c r="V701" s="7"/>
    </row>
    <row r="702" spans="2:22" ht="12.5">
      <c r="B702" s="152"/>
      <c r="C702" s="152"/>
      <c r="D702" s="152"/>
      <c r="E702" s="152"/>
      <c r="F702" s="152"/>
      <c r="G702" s="152"/>
      <c r="H702" s="152"/>
      <c r="I702" s="152"/>
      <c r="J702" s="152"/>
      <c r="K702" s="152"/>
      <c r="L702" s="152"/>
      <c r="M702" s="152"/>
      <c r="N702" s="152"/>
      <c r="O702" s="7"/>
      <c r="P702" s="197"/>
      <c r="Q702" s="103"/>
      <c r="S702" s="7"/>
      <c r="T702" s="7"/>
      <c r="U702" s="7"/>
      <c r="V702" s="7"/>
    </row>
    <row r="703" spans="2:22" ht="12.5">
      <c r="B703" s="152"/>
      <c r="C703" s="152"/>
      <c r="D703" s="152"/>
      <c r="E703" s="152"/>
      <c r="F703" s="152"/>
      <c r="G703" s="152"/>
      <c r="H703" s="152"/>
      <c r="I703" s="152"/>
      <c r="J703" s="152"/>
      <c r="K703" s="152"/>
      <c r="L703" s="152"/>
      <c r="M703" s="152"/>
      <c r="N703" s="152"/>
      <c r="O703" s="7"/>
      <c r="P703" s="197"/>
      <c r="Q703" s="103"/>
      <c r="S703" s="7"/>
      <c r="T703" s="7"/>
      <c r="U703" s="7"/>
      <c r="V703" s="7"/>
    </row>
    <row r="704" spans="2:22" ht="12.5">
      <c r="B704" s="152"/>
      <c r="C704" s="152"/>
      <c r="D704" s="152"/>
      <c r="E704" s="152"/>
      <c r="F704" s="152"/>
      <c r="G704" s="152"/>
      <c r="H704" s="152"/>
      <c r="I704" s="152"/>
      <c r="J704" s="152"/>
      <c r="K704" s="152"/>
      <c r="L704" s="152"/>
      <c r="M704" s="152"/>
      <c r="N704" s="152"/>
      <c r="O704" s="7"/>
      <c r="P704" s="197"/>
      <c r="Q704" s="103"/>
      <c r="S704" s="7"/>
      <c r="T704" s="7"/>
      <c r="U704" s="7"/>
      <c r="V704" s="7"/>
    </row>
    <row r="705" spans="2:22" ht="12.5">
      <c r="B705" s="152"/>
      <c r="C705" s="152"/>
      <c r="D705" s="152"/>
      <c r="E705" s="152"/>
      <c r="F705" s="152"/>
      <c r="G705" s="152"/>
      <c r="H705" s="152"/>
      <c r="I705" s="152"/>
      <c r="J705" s="152"/>
      <c r="K705" s="152"/>
      <c r="L705" s="152"/>
      <c r="M705" s="152"/>
      <c r="N705" s="152"/>
      <c r="O705" s="7"/>
      <c r="P705" s="197"/>
      <c r="Q705" s="103"/>
      <c r="S705" s="7"/>
      <c r="T705" s="7"/>
      <c r="U705" s="7"/>
      <c r="V705" s="7"/>
    </row>
    <row r="706" spans="2:22" ht="12.5">
      <c r="B706" s="152"/>
      <c r="C706" s="152"/>
      <c r="D706" s="152"/>
      <c r="E706" s="152"/>
      <c r="F706" s="152"/>
      <c r="G706" s="152"/>
      <c r="H706" s="152"/>
      <c r="I706" s="152"/>
      <c r="J706" s="152"/>
      <c r="K706" s="152"/>
      <c r="L706" s="152"/>
      <c r="M706" s="152"/>
      <c r="N706" s="152"/>
      <c r="O706" s="7"/>
      <c r="P706" s="197"/>
      <c r="Q706" s="103"/>
      <c r="S706" s="7"/>
      <c r="T706" s="7"/>
      <c r="U706" s="7"/>
      <c r="V706" s="7"/>
    </row>
    <row r="707" spans="2:22" ht="12.5">
      <c r="B707" s="152"/>
      <c r="C707" s="152"/>
      <c r="D707" s="152"/>
      <c r="E707" s="152"/>
      <c r="F707" s="152"/>
      <c r="G707" s="152"/>
      <c r="H707" s="152"/>
      <c r="I707" s="152"/>
      <c r="J707" s="152"/>
      <c r="K707" s="152"/>
      <c r="L707" s="152"/>
      <c r="M707" s="152"/>
      <c r="N707" s="152"/>
      <c r="O707" s="7"/>
      <c r="P707" s="197"/>
      <c r="Q707" s="103"/>
      <c r="S707" s="7"/>
      <c r="T707" s="7"/>
      <c r="U707" s="7"/>
      <c r="V707" s="7"/>
    </row>
    <row r="708" spans="2:22" ht="12.5">
      <c r="B708" s="152"/>
      <c r="C708" s="152"/>
      <c r="D708" s="152"/>
      <c r="E708" s="152"/>
      <c r="F708" s="152"/>
      <c r="G708" s="152"/>
      <c r="H708" s="152"/>
      <c r="I708" s="152"/>
      <c r="J708" s="152"/>
      <c r="K708" s="152"/>
      <c r="L708" s="152"/>
      <c r="M708" s="152"/>
      <c r="N708" s="152"/>
      <c r="O708" s="7"/>
      <c r="P708" s="197"/>
      <c r="Q708" s="103"/>
      <c r="S708" s="7"/>
      <c r="T708" s="7"/>
      <c r="U708" s="7"/>
      <c r="V708" s="7"/>
    </row>
    <row r="709" spans="2:22" ht="12.5">
      <c r="B709" s="152"/>
      <c r="C709" s="152"/>
      <c r="D709" s="152"/>
      <c r="E709" s="152"/>
      <c r="F709" s="152"/>
      <c r="G709" s="152"/>
      <c r="H709" s="152"/>
      <c r="I709" s="152"/>
      <c r="J709" s="152"/>
      <c r="K709" s="152"/>
      <c r="L709" s="152"/>
      <c r="M709" s="152"/>
      <c r="N709" s="152"/>
      <c r="O709" s="7"/>
      <c r="P709" s="197"/>
      <c r="Q709" s="103"/>
      <c r="S709" s="7"/>
      <c r="T709" s="7"/>
      <c r="U709" s="7"/>
      <c r="V709" s="7"/>
    </row>
    <row r="710" spans="2:22" ht="12.5">
      <c r="B710" s="152"/>
      <c r="C710" s="152"/>
      <c r="D710" s="152"/>
      <c r="E710" s="152"/>
      <c r="F710" s="152"/>
      <c r="G710" s="152"/>
      <c r="H710" s="152"/>
      <c r="I710" s="152"/>
      <c r="J710" s="152"/>
      <c r="K710" s="152"/>
      <c r="L710" s="152"/>
      <c r="M710" s="152"/>
      <c r="N710" s="152"/>
      <c r="O710" s="7"/>
      <c r="P710" s="197"/>
      <c r="Q710" s="103"/>
      <c r="S710" s="7"/>
      <c r="T710" s="7"/>
      <c r="U710" s="7"/>
      <c r="V710" s="7"/>
    </row>
    <row r="711" spans="2:22" ht="12.5">
      <c r="B711" s="152"/>
      <c r="C711" s="152"/>
      <c r="D711" s="152"/>
      <c r="E711" s="152"/>
      <c r="F711" s="152"/>
      <c r="G711" s="152"/>
      <c r="H711" s="152"/>
      <c r="I711" s="152"/>
      <c r="J711" s="152"/>
      <c r="K711" s="152"/>
      <c r="L711" s="152"/>
      <c r="M711" s="152"/>
      <c r="N711" s="152"/>
      <c r="O711" s="7"/>
      <c r="P711" s="197"/>
      <c r="Q711" s="103"/>
      <c r="S711" s="7"/>
      <c r="T711" s="7"/>
      <c r="U711" s="7"/>
      <c r="V711" s="7"/>
    </row>
    <row r="712" spans="2:22" ht="12.5">
      <c r="B712" s="152"/>
      <c r="C712" s="152"/>
      <c r="D712" s="152"/>
      <c r="E712" s="152"/>
      <c r="F712" s="152"/>
      <c r="G712" s="152"/>
      <c r="H712" s="152"/>
      <c r="I712" s="152"/>
      <c r="J712" s="152"/>
      <c r="K712" s="152"/>
      <c r="L712" s="152"/>
      <c r="M712" s="152"/>
      <c r="N712" s="152"/>
      <c r="O712" s="7"/>
      <c r="P712" s="197"/>
      <c r="Q712" s="103"/>
      <c r="S712" s="7"/>
      <c r="T712" s="7"/>
      <c r="U712" s="7"/>
      <c r="V712" s="7"/>
    </row>
    <row r="713" spans="2:22" ht="12.5">
      <c r="B713" s="152"/>
      <c r="C713" s="152"/>
      <c r="D713" s="152"/>
      <c r="E713" s="152"/>
      <c r="F713" s="152"/>
      <c r="G713" s="152"/>
      <c r="H713" s="152"/>
      <c r="I713" s="152"/>
      <c r="J713" s="152"/>
      <c r="K713" s="152"/>
      <c r="L713" s="152"/>
      <c r="M713" s="152"/>
      <c r="N713" s="152"/>
      <c r="O713" s="7"/>
      <c r="P713" s="197"/>
      <c r="Q713" s="103"/>
      <c r="S713" s="7"/>
      <c r="T713" s="7"/>
      <c r="U713" s="7"/>
      <c r="V713" s="7"/>
    </row>
    <row r="714" spans="2:22" ht="12.5">
      <c r="B714" s="152"/>
      <c r="C714" s="152"/>
      <c r="D714" s="152"/>
      <c r="E714" s="152"/>
      <c r="F714" s="152"/>
      <c r="G714" s="152"/>
      <c r="H714" s="152"/>
      <c r="I714" s="152"/>
      <c r="J714" s="152"/>
      <c r="K714" s="152"/>
      <c r="L714" s="152"/>
      <c r="M714" s="152"/>
      <c r="N714" s="152"/>
      <c r="O714" s="7"/>
      <c r="P714" s="197"/>
      <c r="Q714" s="103"/>
      <c r="S714" s="7"/>
      <c r="T714" s="7"/>
      <c r="U714" s="7"/>
      <c r="V714" s="7"/>
    </row>
    <row r="715" spans="2:22" ht="12.5">
      <c r="B715" s="152"/>
      <c r="C715" s="152"/>
      <c r="D715" s="152"/>
      <c r="E715" s="152"/>
      <c r="F715" s="152"/>
      <c r="G715" s="152"/>
      <c r="H715" s="152"/>
      <c r="I715" s="152"/>
      <c r="J715" s="152"/>
      <c r="K715" s="152"/>
      <c r="L715" s="152"/>
      <c r="M715" s="152"/>
      <c r="N715" s="152"/>
      <c r="O715" s="7"/>
      <c r="P715" s="197"/>
      <c r="Q715" s="103"/>
      <c r="S715" s="7"/>
      <c r="T715" s="7"/>
      <c r="U715" s="7"/>
      <c r="V715" s="7"/>
    </row>
    <row r="716" spans="2:22" ht="12.5">
      <c r="B716" s="152"/>
      <c r="C716" s="152"/>
      <c r="D716" s="152"/>
      <c r="E716" s="152"/>
      <c r="F716" s="152"/>
      <c r="G716" s="152"/>
      <c r="H716" s="152"/>
      <c r="I716" s="152"/>
      <c r="J716" s="152"/>
      <c r="K716" s="152"/>
      <c r="L716" s="152"/>
      <c r="M716" s="152"/>
      <c r="N716" s="152"/>
      <c r="O716" s="7"/>
      <c r="P716" s="197"/>
      <c r="Q716" s="103"/>
      <c r="S716" s="7"/>
      <c r="T716" s="7"/>
      <c r="U716" s="7"/>
      <c r="V716" s="7"/>
    </row>
    <row r="717" spans="2:22" ht="12.5">
      <c r="B717" s="152"/>
      <c r="C717" s="152"/>
      <c r="D717" s="152"/>
      <c r="E717" s="152"/>
      <c r="F717" s="152"/>
      <c r="G717" s="152"/>
      <c r="H717" s="152"/>
      <c r="I717" s="152"/>
      <c r="J717" s="152"/>
      <c r="K717" s="152"/>
      <c r="L717" s="152"/>
      <c r="M717" s="152"/>
      <c r="N717" s="152"/>
      <c r="O717" s="7"/>
      <c r="P717" s="197"/>
      <c r="Q717" s="103"/>
      <c r="S717" s="7"/>
      <c r="T717" s="7"/>
      <c r="U717" s="7"/>
      <c r="V717" s="7"/>
    </row>
    <row r="718" spans="2:22" ht="12.5">
      <c r="B718" s="152"/>
      <c r="C718" s="152"/>
      <c r="D718" s="152"/>
      <c r="E718" s="152"/>
      <c r="F718" s="152"/>
      <c r="G718" s="152"/>
      <c r="H718" s="152"/>
      <c r="I718" s="152"/>
      <c r="J718" s="152"/>
      <c r="K718" s="152"/>
      <c r="L718" s="152"/>
      <c r="M718" s="152"/>
      <c r="N718" s="152"/>
      <c r="O718" s="7"/>
      <c r="P718" s="197"/>
      <c r="Q718" s="103"/>
      <c r="S718" s="7"/>
      <c r="T718" s="7"/>
      <c r="U718" s="7"/>
      <c r="V718" s="7"/>
    </row>
    <row r="719" spans="2:22" ht="12.5">
      <c r="B719" s="152"/>
      <c r="C719" s="152"/>
      <c r="D719" s="152"/>
      <c r="E719" s="152"/>
      <c r="F719" s="152"/>
      <c r="G719" s="152"/>
      <c r="H719" s="152"/>
      <c r="I719" s="152"/>
      <c r="J719" s="152"/>
      <c r="K719" s="152"/>
      <c r="L719" s="152"/>
      <c r="M719" s="152"/>
      <c r="N719" s="152"/>
      <c r="O719" s="7"/>
      <c r="P719" s="197"/>
      <c r="Q719" s="103"/>
      <c r="S719" s="7"/>
      <c r="T719" s="7"/>
      <c r="U719" s="7"/>
      <c r="V719" s="7"/>
    </row>
    <row r="720" spans="2:22" ht="12.5">
      <c r="B720" s="152"/>
      <c r="C720" s="152"/>
      <c r="D720" s="152"/>
      <c r="E720" s="152"/>
      <c r="F720" s="152"/>
      <c r="G720" s="152"/>
      <c r="H720" s="152"/>
      <c r="I720" s="152"/>
      <c r="J720" s="152"/>
      <c r="K720" s="152"/>
      <c r="L720" s="152"/>
      <c r="M720" s="152"/>
      <c r="N720" s="152"/>
      <c r="O720" s="7"/>
      <c r="P720" s="197"/>
      <c r="Q720" s="103"/>
      <c r="S720" s="7"/>
      <c r="T720" s="7"/>
      <c r="U720" s="7"/>
      <c r="V720" s="7"/>
    </row>
    <row r="721" spans="2:22" ht="12.5">
      <c r="B721" s="152"/>
      <c r="C721" s="152"/>
      <c r="D721" s="152"/>
      <c r="E721" s="152"/>
      <c r="F721" s="152"/>
      <c r="G721" s="152"/>
      <c r="H721" s="152"/>
      <c r="I721" s="152"/>
      <c r="J721" s="152"/>
      <c r="K721" s="152"/>
      <c r="L721" s="152"/>
      <c r="M721" s="152"/>
      <c r="N721" s="152"/>
      <c r="O721" s="7"/>
      <c r="P721" s="197"/>
      <c r="Q721" s="103"/>
      <c r="S721" s="7"/>
      <c r="T721" s="7"/>
      <c r="U721" s="7"/>
      <c r="V721" s="7"/>
    </row>
    <row r="722" spans="2:22" ht="12.5">
      <c r="B722" s="152"/>
      <c r="C722" s="152"/>
      <c r="D722" s="152"/>
      <c r="E722" s="152"/>
      <c r="F722" s="152"/>
      <c r="G722" s="152"/>
      <c r="H722" s="152"/>
      <c r="I722" s="152"/>
      <c r="J722" s="152"/>
      <c r="K722" s="152"/>
      <c r="L722" s="152"/>
      <c r="M722" s="152"/>
      <c r="N722" s="152"/>
      <c r="O722" s="7"/>
      <c r="P722" s="197"/>
      <c r="Q722" s="103"/>
      <c r="S722" s="7"/>
      <c r="T722" s="7"/>
      <c r="U722" s="7"/>
      <c r="V722" s="7"/>
    </row>
    <row r="723" spans="2:22" ht="12.5">
      <c r="B723" s="152"/>
      <c r="C723" s="152"/>
      <c r="D723" s="152"/>
      <c r="E723" s="152"/>
      <c r="F723" s="152"/>
      <c r="G723" s="152"/>
      <c r="H723" s="152"/>
      <c r="I723" s="152"/>
      <c r="J723" s="152"/>
      <c r="K723" s="152"/>
      <c r="L723" s="152"/>
      <c r="M723" s="152"/>
      <c r="N723" s="152"/>
      <c r="O723" s="7"/>
      <c r="P723" s="197"/>
      <c r="Q723" s="103"/>
      <c r="S723" s="7"/>
      <c r="T723" s="7"/>
      <c r="U723" s="7"/>
      <c r="V723" s="7"/>
    </row>
    <row r="724" spans="2:22" ht="12.5">
      <c r="B724" s="152"/>
      <c r="C724" s="152"/>
      <c r="D724" s="152"/>
      <c r="E724" s="152"/>
      <c r="F724" s="152"/>
      <c r="G724" s="152"/>
      <c r="H724" s="152"/>
      <c r="I724" s="152"/>
      <c r="J724" s="152"/>
      <c r="K724" s="152"/>
      <c r="L724" s="152"/>
      <c r="M724" s="152"/>
      <c r="N724" s="152"/>
      <c r="O724" s="7"/>
      <c r="P724" s="197"/>
      <c r="Q724" s="103"/>
      <c r="S724" s="7"/>
      <c r="T724" s="7"/>
      <c r="U724" s="7"/>
      <c r="V724" s="7"/>
    </row>
    <row r="725" spans="2:22" ht="12.5">
      <c r="B725" s="152"/>
      <c r="C725" s="152"/>
      <c r="D725" s="152"/>
      <c r="E725" s="152"/>
      <c r="F725" s="152"/>
      <c r="G725" s="152"/>
      <c r="H725" s="152"/>
      <c r="I725" s="152"/>
      <c r="J725" s="152"/>
      <c r="K725" s="152"/>
      <c r="L725" s="152"/>
      <c r="M725" s="152"/>
      <c r="N725" s="152"/>
      <c r="O725" s="7"/>
      <c r="P725" s="197"/>
      <c r="Q725" s="103"/>
      <c r="S725" s="7"/>
      <c r="T725" s="7"/>
      <c r="U725" s="7"/>
      <c r="V725" s="7"/>
    </row>
    <row r="726" spans="2:22" ht="12.5">
      <c r="B726" s="152"/>
      <c r="C726" s="152"/>
      <c r="D726" s="152"/>
      <c r="E726" s="152"/>
      <c r="F726" s="152"/>
      <c r="G726" s="152"/>
      <c r="H726" s="152"/>
      <c r="I726" s="152"/>
      <c r="J726" s="152"/>
      <c r="K726" s="152"/>
      <c r="L726" s="152"/>
      <c r="M726" s="152"/>
      <c r="N726" s="152"/>
      <c r="O726" s="7"/>
      <c r="P726" s="197"/>
      <c r="Q726" s="103"/>
      <c r="S726" s="7"/>
      <c r="T726" s="7"/>
      <c r="U726" s="7"/>
      <c r="V726" s="7"/>
    </row>
    <row r="727" spans="2:22" ht="12.5">
      <c r="B727" s="152"/>
      <c r="C727" s="152"/>
      <c r="D727" s="152"/>
      <c r="E727" s="152"/>
      <c r="F727" s="152"/>
      <c r="G727" s="152"/>
      <c r="H727" s="152"/>
      <c r="I727" s="152"/>
      <c r="J727" s="152"/>
      <c r="K727" s="152"/>
      <c r="L727" s="152"/>
      <c r="M727" s="152"/>
      <c r="N727" s="152"/>
      <c r="O727" s="7"/>
      <c r="P727" s="197"/>
      <c r="Q727" s="103"/>
      <c r="S727" s="7"/>
      <c r="T727" s="7"/>
      <c r="U727" s="7"/>
      <c r="V727" s="7"/>
    </row>
    <row r="728" spans="2:22" ht="12.5">
      <c r="B728" s="152"/>
      <c r="C728" s="152"/>
      <c r="D728" s="152"/>
      <c r="E728" s="152"/>
      <c r="F728" s="152"/>
      <c r="G728" s="152"/>
      <c r="H728" s="152"/>
      <c r="I728" s="152"/>
      <c r="J728" s="152"/>
      <c r="K728" s="152"/>
      <c r="L728" s="152"/>
      <c r="M728" s="152"/>
      <c r="N728" s="152"/>
      <c r="O728" s="7"/>
      <c r="P728" s="197"/>
      <c r="Q728" s="103"/>
      <c r="S728" s="7"/>
      <c r="T728" s="7"/>
      <c r="U728" s="7"/>
      <c r="V728" s="7"/>
    </row>
    <row r="729" spans="2:22" ht="12.5">
      <c r="B729" s="152"/>
      <c r="C729" s="152"/>
      <c r="D729" s="152"/>
      <c r="E729" s="152"/>
      <c r="F729" s="152"/>
      <c r="G729" s="152"/>
      <c r="H729" s="152"/>
      <c r="I729" s="152"/>
      <c r="J729" s="152"/>
      <c r="K729" s="152"/>
      <c r="L729" s="152"/>
      <c r="M729" s="152"/>
      <c r="N729" s="152"/>
      <c r="O729" s="7"/>
      <c r="P729" s="197"/>
      <c r="Q729" s="103"/>
      <c r="S729" s="7"/>
      <c r="T729" s="7"/>
      <c r="U729" s="7"/>
      <c r="V729" s="7"/>
    </row>
    <row r="730" spans="2:22" ht="12.5">
      <c r="B730" s="152"/>
      <c r="C730" s="152"/>
      <c r="D730" s="152"/>
      <c r="E730" s="152"/>
      <c r="F730" s="152"/>
      <c r="G730" s="152"/>
      <c r="H730" s="152"/>
      <c r="I730" s="152"/>
      <c r="J730" s="152"/>
      <c r="K730" s="152"/>
      <c r="L730" s="152"/>
      <c r="M730" s="152"/>
      <c r="N730" s="152"/>
      <c r="O730" s="7"/>
      <c r="P730" s="197"/>
      <c r="Q730" s="103"/>
      <c r="S730" s="7"/>
      <c r="T730" s="7"/>
      <c r="U730" s="7"/>
      <c r="V730" s="7"/>
    </row>
    <row r="731" spans="2:22" ht="12.5">
      <c r="B731" s="152"/>
      <c r="C731" s="152"/>
      <c r="D731" s="152"/>
      <c r="E731" s="152"/>
      <c r="F731" s="152"/>
      <c r="G731" s="152"/>
      <c r="H731" s="152"/>
      <c r="I731" s="152"/>
      <c r="J731" s="152"/>
      <c r="K731" s="152"/>
      <c r="L731" s="152"/>
      <c r="M731" s="152"/>
      <c r="N731" s="152"/>
      <c r="O731" s="7"/>
      <c r="P731" s="197"/>
      <c r="Q731" s="103"/>
      <c r="S731" s="7"/>
      <c r="T731" s="7"/>
      <c r="U731" s="7"/>
      <c r="V731" s="7"/>
    </row>
    <row r="732" spans="2:22" ht="12.5">
      <c r="B732" s="152"/>
      <c r="C732" s="152"/>
      <c r="D732" s="152"/>
      <c r="E732" s="152"/>
      <c r="F732" s="152"/>
      <c r="G732" s="152"/>
      <c r="H732" s="152"/>
      <c r="I732" s="152"/>
      <c r="J732" s="152"/>
      <c r="K732" s="152"/>
      <c r="L732" s="152"/>
      <c r="M732" s="152"/>
      <c r="N732" s="152"/>
      <c r="O732" s="7"/>
      <c r="P732" s="197"/>
      <c r="Q732" s="103"/>
      <c r="S732" s="7"/>
      <c r="T732" s="7"/>
      <c r="U732" s="7"/>
      <c r="V732" s="7"/>
    </row>
    <row r="733" spans="2:22" ht="12.5">
      <c r="B733" s="152"/>
      <c r="C733" s="152"/>
      <c r="D733" s="152"/>
      <c r="E733" s="152"/>
      <c r="F733" s="152"/>
      <c r="G733" s="152"/>
      <c r="H733" s="152"/>
      <c r="I733" s="152"/>
      <c r="J733" s="152"/>
      <c r="K733" s="152"/>
      <c r="L733" s="152"/>
      <c r="M733" s="152"/>
      <c r="N733" s="152"/>
      <c r="O733" s="7"/>
      <c r="P733" s="197"/>
      <c r="Q733" s="103"/>
      <c r="S733" s="7"/>
      <c r="T733" s="7"/>
      <c r="U733" s="7"/>
      <c r="V733" s="7"/>
    </row>
    <row r="734" spans="2:22" ht="12.5">
      <c r="B734" s="152"/>
      <c r="C734" s="152"/>
      <c r="D734" s="152"/>
      <c r="E734" s="152"/>
      <c r="F734" s="152"/>
      <c r="G734" s="152"/>
      <c r="H734" s="152"/>
      <c r="I734" s="152"/>
      <c r="J734" s="152"/>
      <c r="K734" s="152"/>
      <c r="L734" s="152"/>
      <c r="M734" s="152"/>
      <c r="N734" s="152"/>
      <c r="O734" s="7"/>
      <c r="P734" s="197"/>
      <c r="Q734" s="103"/>
      <c r="S734" s="7"/>
      <c r="T734" s="7"/>
      <c r="U734" s="7"/>
      <c r="V734" s="7"/>
    </row>
    <row r="735" spans="2:22" ht="12.5">
      <c r="B735" s="152"/>
      <c r="C735" s="152"/>
      <c r="D735" s="152"/>
      <c r="E735" s="152"/>
      <c r="F735" s="152"/>
      <c r="G735" s="152"/>
      <c r="H735" s="152"/>
      <c r="I735" s="152"/>
      <c r="J735" s="152"/>
      <c r="K735" s="152"/>
      <c r="L735" s="152"/>
      <c r="M735" s="152"/>
      <c r="N735" s="152"/>
      <c r="O735" s="7"/>
      <c r="P735" s="197"/>
      <c r="Q735" s="103"/>
      <c r="S735" s="7"/>
      <c r="T735" s="7"/>
      <c r="U735" s="7"/>
      <c r="V735" s="7"/>
    </row>
    <row r="736" spans="2:22" ht="12.5">
      <c r="B736" s="152"/>
      <c r="C736" s="152"/>
      <c r="D736" s="152"/>
      <c r="E736" s="152"/>
      <c r="F736" s="152"/>
      <c r="G736" s="152"/>
      <c r="H736" s="152"/>
      <c r="I736" s="152"/>
      <c r="J736" s="152"/>
      <c r="K736" s="152"/>
      <c r="L736" s="152"/>
      <c r="M736" s="152"/>
      <c r="N736" s="152"/>
      <c r="O736" s="7"/>
      <c r="P736" s="197"/>
      <c r="Q736" s="103"/>
      <c r="S736" s="7"/>
      <c r="T736" s="7"/>
      <c r="U736" s="7"/>
      <c r="V736" s="7"/>
    </row>
    <row r="737" spans="2:22" ht="12.5">
      <c r="B737" s="152"/>
      <c r="C737" s="152"/>
      <c r="D737" s="152"/>
      <c r="E737" s="152"/>
      <c r="F737" s="152"/>
      <c r="G737" s="152"/>
      <c r="H737" s="152"/>
      <c r="I737" s="152"/>
      <c r="J737" s="152"/>
      <c r="K737" s="152"/>
      <c r="L737" s="152"/>
      <c r="M737" s="152"/>
      <c r="N737" s="152"/>
      <c r="O737" s="7"/>
      <c r="P737" s="197"/>
      <c r="Q737" s="103"/>
      <c r="S737" s="7"/>
      <c r="T737" s="7"/>
      <c r="U737" s="7"/>
      <c r="V737" s="7"/>
    </row>
    <row r="738" spans="2:22" ht="12.5">
      <c r="B738" s="152"/>
      <c r="C738" s="152"/>
      <c r="D738" s="152"/>
      <c r="E738" s="152"/>
      <c r="F738" s="152"/>
      <c r="G738" s="152"/>
      <c r="H738" s="152"/>
      <c r="I738" s="152"/>
      <c r="J738" s="152"/>
      <c r="K738" s="152"/>
      <c r="L738" s="152"/>
      <c r="M738" s="152"/>
      <c r="N738" s="152"/>
      <c r="O738" s="7"/>
      <c r="P738" s="197"/>
      <c r="Q738" s="103"/>
      <c r="S738" s="7"/>
      <c r="T738" s="7"/>
      <c r="U738" s="7"/>
      <c r="V738" s="7"/>
    </row>
    <row r="739" spans="2:22" ht="12.5">
      <c r="B739" s="152"/>
      <c r="C739" s="152"/>
      <c r="D739" s="152"/>
      <c r="E739" s="152"/>
      <c r="F739" s="152"/>
      <c r="G739" s="152"/>
      <c r="H739" s="152"/>
      <c r="I739" s="152"/>
      <c r="J739" s="152"/>
      <c r="K739" s="152"/>
      <c r="L739" s="152"/>
      <c r="M739" s="152"/>
      <c r="N739" s="152"/>
      <c r="O739" s="7"/>
      <c r="P739" s="197"/>
      <c r="Q739" s="103"/>
      <c r="S739" s="7"/>
      <c r="T739" s="7"/>
      <c r="U739" s="7"/>
      <c r="V739" s="7"/>
    </row>
    <row r="740" spans="2:22" ht="12.5">
      <c r="B740" s="152"/>
      <c r="C740" s="152"/>
      <c r="D740" s="152"/>
      <c r="E740" s="152"/>
      <c r="F740" s="152"/>
      <c r="G740" s="152"/>
      <c r="H740" s="152"/>
      <c r="I740" s="152"/>
      <c r="J740" s="152"/>
      <c r="K740" s="152"/>
      <c r="L740" s="152"/>
      <c r="M740" s="152"/>
      <c r="N740" s="152"/>
      <c r="O740" s="7"/>
      <c r="P740" s="197"/>
      <c r="Q740" s="103"/>
      <c r="S740" s="7"/>
      <c r="T740" s="7"/>
      <c r="U740" s="7"/>
      <c r="V740" s="7"/>
    </row>
    <row r="741" spans="2:22" ht="12.5">
      <c r="B741" s="152"/>
      <c r="C741" s="152"/>
      <c r="D741" s="152"/>
      <c r="E741" s="152"/>
      <c r="F741" s="152"/>
      <c r="G741" s="152"/>
      <c r="H741" s="152"/>
      <c r="I741" s="152"/>
      <c r="J741" s="152"/>
      <c r="K741" s="152"/>
      <c r="L741" s="152"/>
      <c r="M741" s="152"/>
      <c r="N741" s="152"/>
      <c r="O741" s="7"/>
      <c r="P741" s="197"/>
      <c r="Q741" s="103"/>
      <c r="S741" s="7"/>
      <c r="T741" s="7"/>
      <c r="U741" s="7"/>
      <c r="V741" s="7"/>
    </row>
    <row r="742" spans="2:22" ht="12.5">
      <c r="B742" s="152"/>
      <c r="C742" s="152"/>
      <c r="D742" s="152"/>
      <c r="E742" s="152"/>
      <c r="F742" s="152"/>
      <c r="G742" s="152"/>
      <c r="H742" s="152"/>
      <c r="I742" s="152"/>
      <c r="J742" s="152"/>
      <c r="K742" s="152"/>
      <c r="L742" s="152"/>
      <c r="M742" s="152"/>
      <c r="N742" s="152"/>
      <c r="O742" s="7"/>
      <c r="P742" s="197"/>
      <c r="Q742" s="103"/>
      <c r="S742" s="7"/>
      <c r="T742" s="7"/>
      <c r="U742" s="7"/>
      <c r="V742" s="7"/>
    </row>
    <row r="743" spans="2:22" ht="12.5">
      <c r="B743" s="152"/>
      <c r="C743" s="152"/>
      <c r="D743" s="152"/>
      <c r="E743" s="152"/>
      <c r="F743" s="152"/>
      <c r="G743" s="152"/>
      <c r="H743" s="152"/>
      <c r="I743" s="152"/>
      <c r="J743" s="152"/>
      <c r="K743" s="152"/>
      <c r="L743" s="152"/>
      <c r="M743" s="152"/>
      <c r="N743" s="152"/>
      <c r="O743" s="7"/>
      <c r="P743" s="197"/>
      <c r="Q743" s="103"/>
      <c r="S743" s="7"/>
      <c r="T743" s="7"/>
      <c r="U743" s="7"/>
      <c r="V743" s="7"/>
    </row>
    <row r="744" spans="2:22" ht="12.5">
      <c r="B744" s="152"/>
      <c r="C744" s="152"/>
      <c r="D744" s="152"/>
      <c r="E744" s="152"/>
      <c r="F744" s="152"/>
      <c r="G744" s="152"/>
      <c r="H744" s="152"/>
      <c r="I744" s="152"/>
      <c r="J744" s="152"/>
      <c r="K744" s="152"/>
      <c r="L744" s="152"/>
      <c r="M744" s="152"/>
      <c r="N744" s="152"/>
      <c r="O744" s="7"/>
      <c r="P744" s="197"/>
      <c r="Q744" s="103"/>
      <c r="S744" s="7"/>
      <c r="T744" s="7"/>
      <c r="U744" s="7"/>
      <c r="V744" s="7"/>
    </row>
    <row r="745" spans="2:22" ht="12.5">
      <c r="B745" s="152"/>
      <c r="C745" s="152"/>
      <c r="D745" s="152"/>
      <c r="E745" s="152"/>
      <c r="F745" s="152"/>
      <c r="G745" s="152"/>
      <c r="H745" s="152"/>
      <c r="I745" s="152"/>
      <c r="J745" s="152"/>
      <c r="K745" s="152"/>
      <c r="L745" s="152"/>
      <c r="M745" s="152"/>
      <c r="N745" s="152"/>
      <c r="O745" s="7"/>
      <c r="P745" s="197"/>
      <c r="Q745" s="103"/>
      <c r="S745" s="7"/>
      <c r="T745" s="7"/>
      <c r="U745" s="7"/>
      <c r="V745" s="7"/>
    </row>
    <row r="746" spans="2:22" ht="12.5">
      <c r="B746" s="152"/>
      <c r="C746" s="152"/>
      <c r="D746" s="152"/>
      <c r="E746" s="152"/>
      <c r="F746" s="152"/>
      <c r="G746" s="152"/>
      <c r="H746" s="152"/>
      <c r="I746" s="152"/>
      <c r="J746" s="152"/>
      <c r="K746" s="152"/>
      <c r="L746" s="152"/>
      <c r="M746" s="152"/>
      <c r="N746" s="152"/>
      <c r="O746" s="7"/>
      <c r="P746" s="197"/>
      <c r="Q746" s="103"/>
      <c r="S746" s="7"/>
      <c r="T746" s="7"/>
      <c r="U746" s="7"/>
      <c r="V746" s="7"/>
    </row>
    <row r="747" spans="2:22" ht="12.5">
      <c r="B747" s="152"/>
      <c r="C747" s="152"/>
      <c r="D747" s="152"/>
      <c r="E747" s="152"/>
      <c r="F747" s="152"/>
      <c r="G747" s="152"/>
      <c r="H747" s="152"/>
      <c r="I747" s="152"/>
      <c r="J747" s="152"/>
      <c r="K747" s="152"/>
      <c r="L747" s="152"/>
      <c r="M747" s="152"/>
      <c r="N747" s="152"/>
      <c r="O747" s="7"/>
      <c r="P747" s="197"/>
      <c r="Q747" s="103"/>
      <c r="S747" s="7"/>
      <c r="T747" s="7"/>
      <c r="U747" s="7"/>
      <c r="V747" s="7"/>
    </row>
    <row r="748" spans="2:22" ht="12.5">
      <c r="B748" s="152"/>
      <c r="C748" s="152"/>
      <c r="D748" s="152"/>
      <c r="E748" s="152"/>
      <c r="F748" s="152"/>
      <c r="G748" s="152"/>
      <c r="H748" s="152"/>
      <c r="I748" s="152"/>
      <c r="J748" s="152"/>
      <c r="K748" s="152"/>
      <c r="L748" s="152"/>
      <c r="M748" s="152"/>
      <c r="N748" s="152"/>
      <c r="O748" s="7"/>
      <c r="P748" s="197"/>
      <c r="Q748" s="103"/>
      <c r="S748" s="7"/>
      <c r="T748" s="7"/>
      <c r="U748" s="7"/>
      <c r="V748" s="7"/>
    </row>
    <row r="749" spans="2:22" ht="12.5">
      <c r="B749" s="152"/>
      <c r="C749" s="152"/>
      <c r="D749" s="152"/>
      <c r="E749" s="152"/>
      <c r="F749" s="152"/>
      <c r="G749" s="152"/>
      <c r="H749" s="152"/>
      <c r="I749" s="152"/>
      <c r="J749" s="152"/>
      <c r="K749" s="152"/>
      <c r="L749" s="152"/>
      <c r="M749" s="152"/>
      <c r="N749" s="152"/>
      <c r="O749" s="7"/>
      <c r="P749" s="197"/>
      <c r="Q749" s="103"/>
      <c r="S749" s="7"/>
      <c r="T749" s="7"/>
      <c r="U749" s="7"/>
      <c r="V749" s="7"/>
    </row>
    <row r="750" spans="2:22" ht="12.5">
      <c r="B750" s="152"/>
      <c r="C750" s="152"/>
      <c r="D750" s="152"/>
      <c r="E750" s="152"/>
      <c r="F750" s="152"/>
      <c r="G750" s="152"/>
      <c r="H750" s="152"/>
      <c r="I750" s="152"/>
      <c r="J750" s="152"/>
      <c r="K750" s="152"/>
      <c r="L750" s="152"/>
      <c r="M750" s="152"/>
      <c r="N750" s="152"/>
      <c r="O750" s="7"/>
      <c r="P750" s="197"/>
      <c r="Q750" s="103"/>
      <c r="S750" s="7"/>
      <c r="T750" s="7"/>
      <c r="U750" s="7"/>
      <c r="V750" s="7"/>
    </row>
    <row r="751" spans="2:22" ht="12.5">
      <c r="B751" s="152"/>
      <c r="C751" s="152"/>
      <c r="D751" s="152"/>
      <c r="E751" s="152"/>
      <c r="F751" s="152"/>
      <c r="G751" s="152"/>
      <c r="H751" s="152"/>
      <c r="I751" s="152"/>
      <c r="J751" s="152"/>
      <c r="K751" s="152"/>
      <c r="L751" s="152"/>
      <c r="M751" s="152"/>
      <c r="N751" s="152"/>
      <c r="O751" s="7"/>
      <c r="P751" s="197"/>
      <c r="Q751" s="103"/>
      <c r="S751" s="7"/>
      <c r="T751" s="7"/>
      <c r="U751" s="7"/>
      <c r="V751" s="7"/>
    </row>
    <row r="752" spans="2:22" ht="12.5">
      <c r="B752" s="152"/>
      <c r="C752" s="152"/>
      <c r="D752" s="152"/>
      <c r="E752" s="152"/>
      <c r="F752" s="152"/>
      <c r="G752" s="152"/>
      <c r="H752" s="152"/>
      <c r="I752" s="152"/>
      <c r="J752" s="152"/>
      <c r="K752" s="152"/>
      <c r="L752" s="152"/>
      <c r="M752" s="152"/>
      <c r="N752" s="152"/>
      <c r="O752" s="7"/>
      <c r="P752" s="197"/>
      <c r="Q752" s="103"/>
      <c r="S752" s="7"/>
      <c r="T752" s="7"/>
      <c r="U752" s="7"/>
      <c r="V752" s="7"/>
    </row>
    <row r="753" spans="2:22" ht="12.5">
      <c r="B753" s="152"/>
      <c r="C753" s="152"/>
      <c r="D753" s="152"/>
      <c r="E753" s="152"/>
      <c r="F753" s="152"/>
      <c r="G753" s="152"/>
      <c r="H753" s="152"/>
      <c r="I753" s="152"/>
      <c r="J753" s="152"/>
      <c r="K753" s="152"/>
      <c r="L753" s="152"/>
      <c r="M753" s="152"/>
      <c r="N753" s="152"/>
      <c r="O753" s="7"/>
      <c r="P753" s="197"/>
      <c r="Q753" s="103"/>
      <c r="S753" s="7"/>
      <c r="T753" s="7"/>
      <c r="U753" s="7"/>
      <c r="V753" s="7"/>
    </row>
    <row r="754" spans="2:22" ht="12.5">
      <c r="B754" s="152"/>
      <c r="C754" s="152"/>
      <c r="D754" s="152"/>
      <c r="E754" s="152"/>
      <c r="F754" s="152"/>
      <c r="G754" s="152"/>
      <c r="H754" s="152"/>
      <c r="I754" s="152"/>
      <c r="J754" s="152"/>
      <c r="K754" s="152"/>
      <c r="L754" s="152"/>
      <c r="M754" s="152"/>
      <c r="N754" s="152"/>
      <c r="O754" s="7"/>
      <c r="P754" s="197"/>
      <c r="Q754" s="103"/>
      <c r="S754" s="7"/>
      <c r="T754" s="7"/>
      <c r="U754" s="7"/>
      <c r="V754" s="7"/>
    </row>
    <row r="755" spans="2:22" ht="12.5">
      <c r="B755" s="152"/>
      <c r="C755" s="152"/>
      <c r="D755" s="152"/>
      <c r="E755" s="152"/>
      <c r="F755" s="152"/>
      <c r="G755" s="152"/>
      <c r="H755" s="152"/>
      <c r="I755" s="152"/>
      <c r="J755" s="152"/>
      <c r="K755" s="152"/>
      <c r="L755" s="152"/>
      <c r="M755" s="152"/>
      <c r="N755" s="152"/>
      <c r="O755" s="7"/>
      <c r="P755" s="197"/>
      <c r="Q755" s="103"/>
      <c r="S755" s="7"/>
      <c r="T755" s="7"/>
      <c r="U755" s="7"/>
      <c r="V755" s="7"/>
    </row>
    <row r="756" spans="2:22" ht="12.5">
      <c r="B756" s="152"/>
      <c r="C756" s="152"/>
      <c r="D756" s="152"/>
      <c r="E756" s="152"/>
      <c r="F756" s="152"/>
      <c r="G756" s="152"/>
      <c r="H756" s="152"/>
      <c r="I756" s="152"/>
      <c r="J756" s="152"/>
      <c r="K756" s="152"/>
      <c r="L756" s="152"/>
      <c r="M756" s="152"/>
      <c r="N756" s="152"/>
      <c r="O756" s="7"/>
      <c r="P756" s="197"/>
      <c r="Q756" s="103"/>
      <c r="S756" s="7"/>
      <c r="T756" s="7"/>
      <c r="U756" s="7"/>
      <c r="V756" s="7"/>
    </row>
    <row r="757" spans="2:22" ht="12.5">
      <c r="B757" s="152"/>
      <c r="C757" s="152"/>
      <c r="D757" s="152"/>
      <c r="E757" s="152"/>
      <c r="F757" s="152"/>
      <c r="G757" s="152"/>
      <c r="H757" s="152"/>
      <c r="I757" s="152"/>
      <c r="J757" s="152"/>
      <c r="K757" s="152"/>
      <c r="L757" s="152"/>
      <c r="M757" s="152"/>
      <c r="N757" s="152"/>
      <c r="O757" s="7"/>
      <c r="P757" s="197"/>
      <c r="Q757" s="103"/>
      <c r="S757" s="7"/>
      <c r="T757" s="7"/>
      <c r="U757" s="7"/>
      <c r="V757" s="7"/>
    </row>
    <row r="758" spans="2:22" ht="12.5">
      <c r="B758" s="152"/>
      <c r="C758" s="152"/>
      <c r="D758" s="152"/>
      <c r="E758" s="152"/>
      <c r="F758" s="152"/>
      <c r="G758" s="152"/>
      <c r="H758" s="152"/>
      <c r="I758" s="152"/>
      <c r="J758" s="152"/>
      <c r="K758" s="152"/>
      <c r="L758" s="152"/>
      <c r="M758" s="152"/>
      <c r="N758" s="152"/>
      <c r="O758" s="7"/>
      <c r="P758" s="197"/>
      <c r="Q758" s="103"/>
      <c r="S758" s="7"/>
      <c r="T758" s="7"/>
      <c r="U758" s="7"/>
      <c r="V758" s="7"/>
    </row>
    <row r="759" spans="2:22" ht="12.5">
      <c r="B759" s="152"/>
      <c r="C759" s="152"/>
      <c r="D759" s="152"/>
      <c r="E759" s="152"/>
      <c r="F759" s="152"/>
      <c r="G759" s="152"/>
      <c r="H759" s="152"/>
      <c r="I759" s="152"/>
      <c r="J759" s="152"/>
      <c r="K759" s="152"/>
      <c r="L759" s="152"/>
      <c r="M759" s="152"/>
      <c r="N759" s="152"/>
      <c r="O759" s="7"/>
      <c r="P759" s="197"/>
      <c r="Q759" s="103"/>
      <c r="S759" s="7"/>
      <c r="T759" s="7"/>
      <c r="U759" s="7"/>
      <c r="V759" s="7"/>
    </row>
    <row r="760" spans="2:22" ht="12.5">
      <c r="B760" s="152"/>
      <c r="C760" s="152"/>
      <c r="D760" s="152"/>
      <c r="E760" s="152"/>
      <c r="F760" s="152"/>
      <c r="G760" s="152"/>
      <c r="H760" s="152"/>
      <c r="I760" s="152"/>
      <c r="J760" s="152"/>
      <c r="K760" s="152"/>
      <c r="L760" s="152"/>
      <c r="M760" s="152"/>
      <c r="N760" s="152"/>
      <c r="O760" s="7"/>
      <c r="P760" s="197"/>
      <c r="Q760" s="103"/>
      <c r="S760" s="7"/>
      <c r="T760" s="7"/>
      <c r="U760" s="7"/>
      <c r="V760" s="7"/>
    </row>
    <row r="761" spans="2:22" ht="12.5">
      <c r="B761" s="152"/>
      <c r="C761" s="152"/>
      <c r="D761" s="152"/>
      <c r="E761" s="152"/>
      <c r="F761" s="152"/>
      <c r="G761" s="152"/>
      <c r="H761" s="152"/>
      <c r="I761" s="152"/>
      <c r="J761" s="152"/>
      <c r="K761" s="152"/>
      <c r="L761" s="152"/>
      <c r="M761" s="152"/>
      <c r="N761" s="152"/>
      <c r="O761" s="7"/>
      <c r="P761" s="197"/>
      <c r="Q761" s="103"/>
      <c r="S761" s="7"/>
      <c r="T761" s="7"/>
      <c r="U761" s="7"/>
      <c r="V761" s="7"/>
    </row>
    <row r="762" spans="2:22" ht="12.5">
      <c r="B762" s="152"/>
      <c r="C762" s="152"/>
      <c r="D762" s="152"/>
      <c r="E762" s="152"/>
      <c r="F762" s="152"/>
      <c r="G762" s="152"/>
      <c r="H762" s="152"/>
      <c r="I762" s="152"/>
      <c r="J762" s="152"/>
      <c r="K762" s="152"/>
      <c r="L762" s="152"/>
      <c r="M762" s="152"/>
      <c r="N762" s="152"/>
      <c r="O762" s="7"/>
      <c r="P762" s="197"/>
      <c r="Q762" s="103"/>
      <c r="S762" s="7"/>
      <c r="T762" s="7"/>
      <c r="U762" s="7"/>
      <c r="V762" s="7"/>
    </row>
    <row r="763" spans="2:22" ht="12.5">
      <c r="B763" s="152"/>
      <c r="C763" s="152"/>
      <c r="D763" s="152"/>
      <c r="E763" s="152"/>
      <c r="F763" s="152"/>
      <c r="G763" s="152"/>
      <c r="H763" s="152"/>
      <c r="I763" s="152"/>
      <c r="J763" s="152"/>
      <c r="K763" s="152"/>
      <c r="L763" s="152"/>
      <c r="M763" s="152"/>
      <c r="N763" s="152"/>
      <c r="O763" s="7"/>
      <c r="P763" s="197"/>
      <c r="Q763" s="103"/>
      <c r="S763" s="7"/>
      <c r="T763" s="7"/>
      <c r="U763" s="7"/>
      <c r="V763" s="7"/>
    </row>
    <row r="764" spans="2:22" ht="12.5">
      <c r="B764" s="152"/>
      <c r="C764" s="152"/>
      <c r="D764" s="152"/>
      <c r="E764" s="152"/>
      <c r="F764" s="152"/>
      <c r="G764" s="152"/>
      <c r="H764" s="152"/>
      <c r="I764" s="152"/>
      <c r="J764" s="152"/>
      <c r="K764" s="152"/>
      <c r="L764" s="152"/>
      <c r="M764" s="152"/>
      <c r="N764" s="152"/>
      <c r="O764" s="7"/>
      <c r="P764" s="197"/>
      <c r="Q764" s="103"/>
      <c r="S764" s="7"/>
      <c r="T764" s="7"/>
      <c r="U764" s="7"/>
      <c r="V764" s="7"/>
    </row>
    <row r="765" spans="2:22" ht="12.5">
      <c r="B765" s="152"/>
      <c r="C765" s="152"/>
      <c r="D765" s="152"/>
      <c r="E765" s="152"/>
      <c r="F765" s="152"/>
      <c r="G765" s="152"/>
      <c r="H765" s="152"/>
      <c r="I765" s="152"/>
      <c r="J765" s="152"/>
      <c r="K765" s="152"/>
      <c r="L765" s="152"/>
      <c r="M765" s="152"/>
      <c r="N765" s="152"/>
      <c r="O765" s="7"/>
      <c r="P765" s="197"/>
      <c r="Q765" s="103"/>
      <c r="S765" s="7"/>
      <c r="T765" s="7"/>
      <c r="U765" s="7"/>
      <c r="V765" s="7"/>
    </row>
    <row r="766" spans="2:22" ht="12.5">
      <c r="B766" s="152"/>
      <c r="C766" s="152"/>
      <c r="D766" s="152"/>
      <c r="E766" s="152"/>
      <c r="F766" s="152"/>
      <c r="G766" s="152"/>
      <c r="H766" s="152"/>
      <c r="I766" s="152"/>
      <c r="J766" s="152"/>
      <c r="K766" s="152"/>
      <c r="L766" s="152"/>
      <c r="M766" s="152"/>
      <c r="N766" s="152"/>
      <c r="O766" s="7"/>
      <c r="P766" s="197"/>
      <c r="Q766" s="103"/>
      <c r="S766" s="7"/>
      <c r="T766" s="7"/>
      <c r="U766" s="7"/>
      <c r="V766" s="7"/>
    </row>
    <row r="767" spans="2:22" ht="12.5">
      <c r="B767" s="152"/>
      <c r="C767" s="152"/>
      <c r="D767" s="152"/>
      <c r="E767" s="152"/>
      <c r="F767" s="152"/>
      <c r="G767" s="152"/>
      <c r="H767" s="152"/>
      <c r="I767" s="152"/>
      <c r="J767" s="152"/>
      <c r="K767" s="152"/>
      <c r="L767" s="152"/>
      <c r="M767" s="152"/>
      <c r="N767" s="152"/>
      <c r="O767" s="7"/>
      <c r="P767" s="197"/>
      <c r="Q767" s="103"/>
      <c r="S767" s="7"/>
      <c r="T767" s="7"/>
      <c r="U767" s="7"/>
      <c r="V767" s="7"/>
    </row>
    <row r="768" spans="2:22" ht="12.5">
      <c r="B768" s="152"/>
      <c r="C768" s="152"/>
      <c r="D768" s="152"/>
      <c r="E768" s="152"/>
      <c r="F768" s="152"/>
      <c r="G768" s="152"/>
      <c r="H768" s="152"/>
      <c r="I768" s="152"/>
      <c r="J768" s="152"/>
      <c r="K768" s="152"/>
      <c r="L768" s="152"/>
      <c r="M768" s="152"/>
      <c r="N768" s="152"/>
      <c r="O768" s="7"/>
      <c r="P768" s="197"/>
      <c r="Q768" s="103"/>
      <c r="S768" s="7"/>
      <c r="T768" s="7"/>
      <c r="U768" s="7"/>
      <c r="V768" s="7"/>
    </row>
    <row r="769" spans="2:22" ht="12.5">
      <c r="B769" s="152"/>
      <c r="C769" s="152"/>
      <c r="D769" s="152"/>
      <c r="E769" s="152"/>
      <c r="F769" s="152"/>
      <c r="G769" s="152"/>
      <c r="H769" s="152"/>
      <c r="I769" s="152"/>
      <c r="J769" s="152"/>
      <c r="K769" s="152"/>
      <c r="L769" s="152"/>
      <c r="M769" s="152"/>
      <c r="N769" s="152"/>
      <c r="O769" s="7"/>
      <c r="P769" s="197"/>
      <c r="Q769" s="103"/>
      <c r="S769" s="7"/>
      <c r="T769" s="7"/>
      <c r="U769" s="7"/>
      <c r="V769" s="7"/>
    </row>
    <row r="770" spans="2:22" ht="12.5">
      <c r="B770" s="152"/>
      <c r="C770" s="152"/>
      <c r="D770" s="152"/>
      <c r="E770" s="152"/>
      <c r="F770" s="152"/>
      <c r="G770" s="152"/>
      <c r="H770" s="152"/>
      <c r="I770" s="152"/>
      <c r="J770" s="152"/>
      <c r="K770" s="152"/>
      <c r="L770" s="152"/>
      <c r="M770" s="152"/>
      <c r="N770" s="152"/>
      <c r="O770" s="7"/>
      <c r="P770" s="197"/>
      <c r="Q770" s="103"/>
      <c r="S770" s="7"/>
      <c r="T770" s="7"/>
      <c r="U770" s="7"/>
      <c r="V770" s="7"/>
    </row>
    <row r="771" spans="2:22" ht="12.5">
      <c r="B771" s="152"/>
      <c r="C771" s="152"/>
      <c r="D771" s="152"/>
      <c r="E771" s="152"/>
      <c r="F771" s="152"/>
      <c r="G771" s="152"/>
      <c r="H771" s="152"/>
      <c r="I771" s="152"/>
      <c r="J771" s="152"/>
      <c r="K771" s="152"/>
      <c r="L771" s="152"/>
      <c r="M771" s="152"/>
      <c r="N771" s="152"/>
      <c r="O771" s="7"/>
      <c r="P771" s="197"/>
      <c r="Q771" s="103"/>
      <c r="S771" s="7"/>
      <c r="T771" s="7"/>
      <c r="U771" s="7"/>
      <c r="V771" s="7"/>
    </row>
    <row r="772" spans="2:22" ht="12.5">
      <c r="B772" s="152"/>
      <c r="C772" s="152"/>
      <c r="D772" s="152"/>
      <c r="E772" s="152"/>
      <c r="F772" s="152"/>
      <c r="G772" s="152"/>
      <c r="H772" s="152"/>
      <c r="I772" s="152"/>
      <c r="J772" s="152"/>
      <c r="K772" s="152"/>
      <c r="L772" s="152"/>
      <c r="M772" s="152"/>
      <c r="N772" s="152"/>
      <c r="O772" s="7"/>
      <c r="P772" s="197"/>
      <c r="Q772" s="103"/>
      <c r="S772" s="7"/>
      <c r="T772" s="7"/>
      <c r="U772" s="7"/>
      <c r="V772" s="7"/>
    </row>
    <row r="773" spans="2:22" ht="12.5">
      <c r="B773" s="152"/>
      <c r="C773" s="152"/>
      <c r="D773" s="152"/>
      <c r="E773" s="152"/>
      <c r="F773" s="152"/>
      <c r="G773" s="152"/>
      <c r="H773" s="152"/>
      <c r="I773" s="152"/>
      <c r="J773" s="152"/>
      <c r="K773" s="152"/>
      <c r="L773" s="152"/>
      <c r="M773" s="152"/>
      <c r="N773" s="152"/>
      <c r="O773" s="7"/>
      <c r="P773" s="197"/>
      <c r="Q773" s="103"/>
      <c r="S773" s="7"/>
      <c r="T773" s="7"/>
      <c r="U773" s="7"/>
      <c r="V773" s="7"/>
    </row>
    <row r="774" spans="2:22" ht="12.5">
      <c r="B774" s="152"/>
      <c r="C774" s="152"/>
      <c r="D774" s="152"/>
      <c r="E774" s="152"/>
      <c r="F774" s="152"/>
      <c r="G774" s="152"/>
      <c r="H774" s="152"/>
      <c r="I774" s="152"/>
      <c r="J774" s="152"/>
      <c r="K774" s="152"/>
      <c r="L774" s="152"/>
      <c r="M774" s="152"/>
      <c r="N774" s="152"/>
      <c r="O774" s="7"/>
      <c r="P774" s="197"/>
      <c r="Q774" s="103"/>
      <c r="S774" s="7"/>
      <c r="T774" s="7"/>
      <c r="U774" s="7"/>
      <c r="V774" s="7"/>
    </row>
    <row r="775" spans="2:22" ht="12.5">
      <c r="B775" s="152"/>
      <c r="C775" s="152"/>
      <c r="D775" s="152"/>
      <c r="E775" s="152"/>
      <c r="F775" s="152"/>
      <c r="G775" s="152"/>
      <c r="H775" s="152"/>
      <c r="I775" s="152"/>
      <c r="J775" s="152"/>
      <c r="K775" s="152"/>
      <c r="L775" s="152"/>
      <c r="M775" s="152"/>
      <c r="N775" s="152"/>
      <c r="O775" s="7"/>
      <c r="P775" s="197"/>
      <c r="Q775" s="103"/>
      <c r="S775" s="7"/>
      <c r="T775" s="7"/>
      <c r="U775" s="7"/>
      <c r="V775" s="7"/>
    </row>
    <row r="776" spans="2:22" ht="12.5">
      <c r="B776" s="152"/>
      <c r="C776" s="152"/>
      <c r="D776" s="152"/>
      <c r="E776" s="152"/>
      <c r="F776" s="152"/>
      <c r="G776" s="152"/>
      <c r="H776" s="152"/>
      <c r="I776" s="152"/>
      <c r="J776" s="152"/>
      <c r="K776" s="152"/>
      <c r="L776" s="152"/>
      <c r="M776" s="152"/>
      <c r="N776" s="152"/>
      <c r="O776" s="7"/>
      <c r="P776" s="197"/>
      <c r="Q776" s="103"/>
      <c r="S776" s="7"/>
      <c r="T776" s="7"/>
      <c r="U776" s="7"/>
      <c r="V776" s="7"/>
    </row>
    <row r="777" spans="2:22" ht="12.5">
      <c r="B777" s="152"/>
      <c r="C777" s="152"/>
      <c r="D777" s="152"/>
      <c r="E777" s="152"/>
      <c r="F777" s="152"/>
      <c r="G777" s="152"/>
      <c r="H777" s="152"/>
      <c r="I777" s="152"/>
      <c r="J777" s="152"/>
      <c r="K777" s="152"/>
      <c r="L777" s="152"/>
      <c r="M777" s="152"/>
      <c r="N777" s="152"/>
      <c r="O777" s="7"/>
      <c r="P777" s="197"/>
      <c r="Q777" s="103"/>
      <c r="S777" s="7"/>
      <c r="T777" s="7"/>
      <c r="U777" s="7"/>
      <c r="V777" s="7"/>
    </row>
    <row r="778" spans="2:22" ht="12.5">
      <c r="B778" s="152"/>
      <c r="C778" s="152"/>
      <c r="D778" s="152"/>
      <c r="E778" s="152"/>
      <c r="F778" s="152"/>
      <c r="G778" s="152"/>
      <c r="H778" s="152"/>
      <c r="I778" s="152"/>
      <c r="J778" s="152"/>
      <c r="K778" s="152"/>
      <c r="L778" s="152"/>
      <c r="M778" s="152"/>
      <c r="N778" s="152"/>
      <c r="O778" s="7"/>
      <c r="P778" s="197"/>
      <c r="Q778" s="103"/>
      <c r="S778" s="7"/>
      <c r="T778" s="7"/>
      <c r="U778" s="7"/>
      <c r="V778" s="7"/>
    </row>
    <row r="779" spans="2:22" ht="12.5">
      <c r="B779" s="152"/>
      <c r="C779" s="152"/>
      <c r="D779" s="152"/>
      <c r="E779" s="152"/>
      <c r="F779" s="152"/>
      <c r="G779" s="152"/>
      <c r="H779" s="152"/>
      <c r="I779" s="152"/>
      <c r="J779" s="152"/>
      <c r="K779" s="152"/>
      <c r="L779" s="152"/>
      <c r="M779" s="152"/>
      <c r="N779" s="152"/>
      <c r="O779" s="7"/>
      <c r="P779" s="197"/>
      <c r="Q779" s="103"/>
      <c r="S779" s="7"/>
      <c r="T779" s="7"/>
      <c r="U779" s="7"/>
      <c r="V779" s="7"/>
    </row>
    <row r="780" spans="2:22" ht="12.5">
      <c r="B780" s="152"/>
      <c r="C780" s="152"/>
      <c r="D780" s="152"/>
      <c r="E780" s="152"/>
      <c r="F780" s="152"/>
      <c r="G780" s="152"/>
      <c r="H780" s="152"/>
      <c r="I780" s="152"/>
      <c r="J780" s="152"/>
      <c r="K780" s="152"/>
      <c r="L780" s="152"/>
      <c r="M780" s="152"/>
      <c r="N780" s="152"/>
      <c r="O780" s="7"/>
      <c r="P780" s="197"/>
      <c r="Q780" s="103"/>
      <c r="S780" s="7"/>
      <c r="T780" s="7"/>
      <c r="U780" s="7"/>
      <c r="V780" s="7"/>
    </row>
    <row r="781" spans="2:22" ht="12.5">
      <c r="B781" s="152"/>
      <c r="C781" s="152"/>
      <c r="D781" s="152"/>
      <c r="E781" s="152"/>
      <c r="F781" s="152"/>
      <c r="G781" s="152"/>
      <c r="H781" s="152"/>
      <c r="I781" s="152"/>
      <c r="J781" s="152"/>
      <c r="K781" s="152"/>
      <c r="L781" s="152"/>
      <c r="M781" s="152"/>
      <c r="N781" s="152"/>
      <c r="O781" s="7"/>
      <c r="P781" s="197"/>
      <c r="Q781" s="103"/>
      <c r="S781" s="7"/>
      <c r="T781" s="7"/>
      <c r="U781" s="7"/>
      <c r="V781" s="7"/>
    </row>
    <row r="782" spans="2:22" ht="12.5">
      <c r="B782" s="152"/>
      <c r="C782" s="152"/>
      <c r="D782" s="152"/>
      <c r="E782" s="152"/>
      <c r="F782" s="152"/>
      <c r="G782" s="152"/>
      <c r="H782" s="152"/>
      <c r="I782" s="152"/>
      <c r="J782" s="152"/>
      <c r="K782" s="152"/>
      <c r="L782" s="152"/>
      <c r="M782" s="152"/>
      <c r="N782" s="152"/>
      <c r="O782" s="7"/>
      <c r="P782" s="197"/>
      <c r="Q782" s="103"/>
      <c r="S782" s="7"/>
      <c r="T782" s="7"/>
      <c r="U782" s="7"/>
      <c r="V782" s="7"/>
    </row>
    <row r="783" spans="2:22" ht="12.5">
      <c r="B783" s="152"/>
      <c r="C783" s="152"/>
      <c r="D783" s="152"/>
      <c r="E783" s="152"/>
      <c r="F783" s="152"/>
      <c r="G783" s="152"/>
      <c r="H783" s="152"/>
      <c r="I783" s="152"/>
      <c r="J783" s="152"/>
      <c r="K783" s="152"/>
      <c r="L783" s="152"/>
      <c r="M783" s="152"/>
      <c r="N783" s="152"/>
      <c r="O783" s="7"/>
      <c r="P783" s="197"/>
      <c r="Q783" s="103"/>
      <c r="S783" s="7"/>
      <c r="T783" s="7"/>
      <c r="U783" s="7"/>
      <c r="V783" s="7"/>
    </row>
    <row r="784" spans="2:22" ht="12.5">
      <c r="B784" s="152"/>
      <c r="C784" s="152"/>
      <c r="D784" s="152"/>
      <c r="E784" s="152"/>
      <c r="F784" s="152"/>
      <c r="G784" s="152"/>
      <c r="H784" s="152"/>
      <c r="I784" s="152"/>
      <c r="J784" s="152"/>
      <c r="K784" s="152"/>
      <c r="L784" s="152"/>
      <c r="M784" s="152"/>
      <c r="N784" s="152"/>
      <c r="O784" s="7"/>
      <c r="P784" s="197"/>
      <c r="Q784" s="103"/>
      <c r="S784" s="7"/>
      <c r="T784" s="7"/>
      <c r="U784" s="7"/>
      <c r="V784" s="7"/>
    </row>
    <row r="785" spans="2:22" ht="12.5">
      <c r="B785" s="152"/>
      <c r="C785" s="152"/>
      <c r="D785" s="152"/>
      <c r="E785" s="152"/>
      <c r="F785" s="152"/>
      <c r="G785" s="152"/>
      <c r="H785" s="152"/>
      <c r="I785" s="152"/>
      <c r="J785" s="152"/>
      <c r="K785" s="152"/>
      <c r="L785" s="152"/>
      <c r="M785" s="152"/>
      <c r="N785" s="152"/>
      <c r="O785" s="7"/>
      <c r="P785" s="197"/>
      <c r="Q785" s="103"/>
      <c r="S785" s="7"/>
      <c r="T785" s="7"/>
      <c r="U785" s="7"/>
      <c r="V785" s="7"/>
    </row>
    <row r="786" spans="2:22" ht="12.5">
      <c r="B786" s="152"/>
      <c r="C786" s="152"/>
      <c r="D786" s="152"/>
      <c r="E786" s="152"/>
      <c r="F786" s="152"/>
      <c r="G786" s="152"/>
      <c r="H786" s="152"/>
      <c r="I786" s="152"/>
      <c r="J786" s="152"/>
      <c r="K786" s="152"/>
      <c r="L786" s="152"/>
      <c r="M786" s="152"/>
      <c r="N786" s="152"/>
      <c r="O786" s="7"/>
      <c r="P786" s="197"/>
      <c r="Q786" s="103"/>
      <c r="S786" s="7"/>
      <c r="T786" s="7"/>
      <c r="U786" s="7"/>
      <c r="V786" s="7"/>
    </row>
    <row r="787" spans="2:22" ht="12.5">
      <c r="B787" s="152"/>
      <c r="C787" s="152"/>
      <c r="D787" s="152"/>
      <c r="E787" s="152"/>
      <c r="F787" s="152"/>
      <c r="G787" s="152"/>
      <c r="H787" s="152"/>
      <c r="I787" s="152"/>
      <c r="J787" s="152"/>
      <c r="K787" s="152"/>
      <c r="L787" s="152"/>
      <c r="M787" s="152"/>
      <c r="N787" s="152"/>
      <c r="O787" s="7"/>
      <c r="P787" s="197"/>
      <c r="Q787" s="103"/>
      <c r="S787" s="7"/>
      <c r="T787" s="7"/>
      <c r="U787" s="7"/>
      <c r="V787" s="7"/>
    </row>
    <row r="788" spans="2:22" ht="12.5">
      <c r="B788" s="152"/>
      <c r="C788" s="152"/>
      <c r="D788" s="152"/>
      <c r="E788" s="152"/>
      <c r="F788" s="152"/>
      <c r="G788" s="152"/>
      <c r="H788" s="152"/>
      <c r="I788" s="152"/>
      <c r="J788" s="152"/>
      <c r="K788" s="152"/>
      <c r="L788" s="152"/>
      <c r="M788" s="152"/>
      <c r="N788" s="152"/>
      <c r="O788" s="7"/>
      <c r="P788" s="197"/>
      <c r="Q788" s="103"/>
      <c r="S788" s="7"/>
      <c r="T788" s="7"/>
      <c r="U788" s="7"/>
      <c r="V788" s="7"/>
    </row>
    <row r="789" spans="2:22" ht="12.5">
      <c r="B789" s="152"/>
      <c r="C789" s="152"/>
      <c r="D789" s="152"/>
      <c r="E789" s="152"/>
      <c r="F789" s="152"/>
      <c r="G789" s="152"/>
      <c r="H789" s="152"/>
      <c r="I789" s="152"/>
      <c r="J789" s="152"/>
      <c r="K789" s="152"/>
      <c r="L789" s="152"/>
      <c r="M789" s="152"/>
      <c r="N789" s="152"/>
      <c r="O789" s="7"/>
      <c r="P789" s="197"/>
      <c r="Q789" s="103"/>
      <c r="S789" s="7"/>
      <c r="T789" s="7"/>
      <c r="U789" s="7"/>
      <c r="V789" s="7"/>
    </row>
    <row r="790" spans="2:22" ht="12.5">
      <c r="B790" s="152"/>
      <c r="C790" s="152"/>
      <c r="D790" s="152"/>
      <c r="E790" s="152"/>
      <c r="F790" s="152"/>
      <c r="G790" s="152"/>
      <c r="H790" s="152"/>
      <c r="I790" s="152"/>
      <c r="J790" s="152"/>
      <c r="K790" s="152"/>
      <c r="L790" s="152"/>
      <c r="M790" s="152"/>
      <c r="N790" s="152"/>
      <c r="O790" s="7"/>
      <c r="P790" s="197"/>
      <c r="Q790" s="103"/>
      <c r="S790" s="7"/>
      <c r="T790" s="7"/>
      <c r="U790" s="7"/>
      <c r="V790" s="7"/>
    </row>
    <row r="791" spans="2:22" ht="12.5">
      <c r="B791" s="152"/>
      <c r="C791" s="152"/>
      <c r="D791" s="152"/>
      <c r="E791" s="152"/>
      <c r="F791" s="152"/>
      <c r="G791" s="152"/>
      <c r="H791" s="152"/>
      <c r="I791" s="152"/>
      <c r="J791" s="152"/>
      <c r="K791" s="152"/>
      <c r="L791" s="152"/>
      <c r="M791" s="152"/>
      <c r="N791" s="152"/>
      <c r="O791" s="7"/>
      <c r="P791" s="197"/>
      <c r="Q791" s="103"/>
      <c r="S791" s="7"/>
      <c r="T791" s="7"/>
      <c r="U791" s="7"/>
      <c r="V791" s="7"/>
    </row>
    <row r="792" spans="2:22" ht="12.5">
      <c r="B792" s="152"/>
      <c r="C792" s="152"/>
      <c r="D792" s="152"/>
      <c r="E792" s="152"/>
      <c r="F792" s="152"/>
      <c r="G792" s="152"/>
      <c r="H792" s="152"/>
      <c r="I792" s="152"/>
      <c r="J792" s="152"/>
      <c r="K792" s="152"/>
      <c r="L792" s="152"/>
      <c r="M792" s="152"/>
      <c r="N792" s="152"/>
      <c r="O792" s="7"/>
      <c r="P792" s="197"/>
      <c r="Q792" s="103"/>
      <c r="S792" s="7"/>
      <c r="T792" s="7"/>
      <c r="U792" s="7"/>
      <c r="V792" s="7"/>
    </row>
    <row r="793" spans="2:22" ht="12.5">
      <c r="B793" s="152"/>
      <c r="C793" s="152"/>
      <c r="D793" s="152"/>
      <c r="E793" s="152"/>
      <c r="F793" s="152"/>
      <c r="G793" s="152"/>
      <c r="H793" s="152"/>
      <c r="I793" s="152"/>
      <c r="J793" s="152"/>
      <c r="K793" s="152"/>
      <c r="L793" s="152"/>
      <c r="M793" s="152"/>
      <c r="N793" s="152"/>
      <c r="O793" s="7"/>
      <c r="P793" s="197"/>
      <c r="Q793" s="103"/>
      <c r="S793" s="7"/>
      <c r="T793" s="7"/>
      <c r="U793" s="7"/>
      <c r="V793" s="7"/>
    </row>
    <row r="794" spans="2:22" ht="12.5">
      <c r="B794" s="152"/>
      <c r="C794" s="152"/>
      <c r="D794" s="152"/>
      <c r="E794" s="152"/>
      <c r="F794" s="152"/>
      <c r="G794" s="152"/>
      <c r="H794" s="152"/>
      <c r="I794" s="152"/>
      <c r="J794" s="152"/>
      <c r="K794" s="152"/>
      <c r="L794" s="152"/>
      <c r="M794" s="152"/>
      <c r="N794" s="152"/>
      <c r="O794" s="7"/>
      <c r="P794" s="197"/>
      <c r="Q794" s="103"/>
      <c r="S794" s="7"/>
      <c r="T794" s="7"/>
      <c r="U794" s="7"/>
      <c r="V794" s="7"/>
    </row>
    <row r="795" spans="2:22" ht="12.5">
      <c r="B795" s="152"/>
      <c r="C795" s="152"/>
      <c r="D795" s="152"/>
      <c r="E795" s="152"/>
      <c r="F795" s="152"/>
      <c r="G795" s="152"/>
      <c r="H795" s="152"/>
      <c r="I795" s="152"/>
      <c r="J795" s="152"/>
      <c r="K795" s="152"/>
      <c r="L795" s="152"/>
      <c r="M795" s="152"/>
      <c r="N795" s="152"/>
      <c r="O795" s="7"/>
      <c r="P795" s="197"/>
      <c r="Q795" s="103"/>
      <c r="S795" s="7"/>
      <c r="T795" s="7"/>
      <c r="U795" s="7"/>
      <c r="V795" s="7"/>
    </row>
    <row r="796" spans="2:22" ht="12.5">
      <c r="B796" s="152"/>
      <c r="C796" s="152"/>
      <c r="D796" s="152"/>
      <c r="E796" s="152"/>
      <c r="F796" s="152"/>
      <c r="G796" s="152"/>
      <c r="H796" s="152"/>
      <c r="I796" s="152"/>
      <c r="J796" s="152"/>
      <c r="K796" s="152"/>
      <c r="L796" s="152"/>
      <c r="M796" s="152"/>
      <c r="N796" s="152"/>
      <c r="O796" s="7"/>
      <c r="P796" s="197"/>
      <c r="Q796" s="103"/>
      <c r="S796" s="7"/>
      <c r="T796" s="7"/>
      <c r="U796" s="7"/>
      <c r="V796" s="7"/>
    </row>
    <row r="797" spans="2:22" ht="12.5">
      <c r="B797" s="152"/>
      <c r="C797" s="152"/>
      <c r="D797" s="152"/>
      <c r="E797" s="152"/>
      <c r="F797" s="152"/>
      <c r="G797" s="152"/>
      <c r="H797" s="152"/>
      <c r="I797" s="152"/>
      <c r="J797" s="152"/>
      <c r="K797" s="152"/>
      <c r="L797" s="152"/>
      <c r="M797" s="152"/>
      <c r="N797" s="152"/>
      <c r="O797" s="7"/>
      <c r="P797" s="197"/>
      <c r="Q797" s="103"/>
      <c r="S797" s="7"/>
      <c r="T797" s="7"/>
      <c r="U797" s="7"/>
      <c r="V797" s="7"/>
    </row>
    <row r="798" spans="2:22" ht="12.5">
      <c r="B798" s="152"/>
      <c r="C798" s="152"/>
      <c r="D798" s="152"/>
      <c r="E798" s="152"/>
      <c r="F798" s="152"/>
      <c r="G798" s="152"/>
      <c r="H798" s="152"/>
      <c r="I798" s="152"/>
      <c r="J798" s="152"/>
      <c r="K798" s="152"/>
      <c r="L798" s="152"/>
      <c r="M798" s="152"/>
      <c r="N798" s="152"/>
      <c r="O798" s="7"/>
      <c r="P798" s="197"/>
      <c r="Q798" s="103"/>
      <c r="S798" s="7"/>
      <c r="T798" s="7"/>
      <c r="U798" s="7"/>
      <c r="V798" s="7"/>
    </row>
    <row r="799" spans="2:22" ht="12.5">
      <c r="B799" s="152"/>
      <c r="C799" s="152"/>
      <c r="D799" s="152"/>
      <c r="E799" s="152"/>
      <c r="F799" s="152"/>
      <c r="G799" s="152"/>
      <c r="H799" s="152"/>
      <c r="I799" s="152"/>
      <c r="J799" s="152"/>
      <c r="K799" s="152"/>
      <c r="L799" s="152"/>
      <c r="M799" s="152"/>
      <c r="N799" s="152"/>
      <c r="O799" s="7"/>
      <c r="P799" s="197"/>
      <c r="Q799" s="103"/>
      <c r="S799" s="7"/>
      <c r="T799" s="7"/>
      <c r="U799" s="7"/>
      <c r="V799" s="7"/>
    </row>
    <row r="800" spans="2:22" ht="12.5">
      <c r="B800" s="152"/>
      <c r="C800" s="152"/>
      <c r="D800" s="152"/>
      <c r="E800" s="152"/>
      <c r="F800" s="152"/>
      <c r="G800" s="152"/>
      <c r="H800" s="152"/>
      <c r="I800" s="152"/>
      <c r="J800" s="152"/>
      <c r="K800" s="152"/>
      <c r="L800" s="152"/>
      <c r="M800" s="152"/>
      <c r="N800" s="152"/>
      <c r="O800" s="7"/>
      <c r="P800" s="197"/>
      <c r="Q800" s="103"/>
      <c r="S800" s="7"/>
      <c r="T800" s="7"/>
      <c r="U800" s="7"/>
      <c r="V800" s="7"/>
    </row>
    <row r="801" spans="2:22" ht="12.5">
      <c r="B801" s="152"/>
      <c r="C801" s="152"/>
      <c r="D801" s="152"/>
      <c r="E801" s="152"/>
      <c r="F801" s="152"/>
      <c r="G801" s="152"/>
      <c r="H801" s="152"/>
      <c r="I801" s="152"/>
      <c r="J801" s="152"/>
      <c r="K801" s="152"/>
      <c r="L801" s="152"/>
      <c r="M801" s="152"/>
      <c r="N801" s="152"/>
      <c r="O801" s="7"/>
      <c r="P801" s="197"/>
      <c r="Q801" s="103"/>
      <c r="S801" s="7"/>
      <c r="T801" s="7"/>
      <c r="U801" s="7"/>
      <c r="V801" s="7"/>
    </row>
    <row r="802" spans="2:22" ht="12.5">
      <c r="B802" s="152"/>
      <c r="C802" s="152"/>
      <c r="D802" s="152"/>
      <c r="E802" s="152"/>
      <c r="F802" s="152"/>
      <c r="G802" s="152"/>
      <c r="H802" s="152"/>
      <c r="I802" s="152"/>
      <c r="J802" s="152"/>
      <c r="K802" s="152"/>
      <c r="L802" s="152"/>
      <c r="M802" s="152"/>
      <c r="N802" s="152"/>
      <c r="O802" s="7"/>
      <c r="P802" s="197"/>
      <c r="Q802" s="103"/>
      <c r="S802" s="7"/>
      <c r="T802" s="7"/>
      <c r="U802" s="7"/>
      <c r="V802" s="7"/>
    </row>
    <row r="803" spans="2:22" ht="12.5">
      <c r="B803" s="152"/>
      <c r="C803" s="152"/>
      <c r="D803" s="152"/>
      <c r="E803" s="152"/>
      <c r="F803" s="152"/>
      <c r="G803" s="152"/>
      <c r="H803" s="152"/>
      <c r="I803" s="152"/>
      <c r="J803" s="152"/>
      <c r="K803" s="152"/>
      <c r="L803" s="152"/>
      <c r="M803" s="152"/>
      <c r="N803" s="152"/>
      <c r="O803" s="7"/>
      <c r="P803" s="197"/>
      <c r="Q803" s="103"/>
      <c r="S803" s="7"/>
      <c r="T803" s="7"/>
      <c r="U803" s="7"/>
      <c r="V803" s="7"/>
    </row>
    <row r="804" spans="2:22" ht="12.5">
      <c r="B804" s="152"/>
      <c r="C804" s="152"/>
      <c r="D804" s="152"/>
      <c r="E804" s="152"/>
      <c r="F804" s="152"/>
      <c r="G804" s="152"/>
      <c r="H804" s="152"/>
      <c r="I804" s="152"/>
      <c r="J804" s="152"/>
      <c r="K804" s="152"/>
      <c r="L804" s="152"/>
      <c r="M804" s="152"/>
      <c r="N804" s="152"/>
      <c r="O804" s="7"/>
      <c r="P804" s="197"/>
      <c r="Q804" s="103"/>
      <c r="S804" s="7"/>
      <c r="T804" s="7"/>
      <c r="U804" s="7"/>
      <c r="V804" s="7"/>
    </row>
    <row r="805" spans="2:22" ht="12.5">
      <c r="B805" s="152"/>
      <c r="C805" s="152"/>
      <c r="D805" s="152"/>
      <c r="E805" s="152"/>
      <c r="F805" s="152"/>
      <c r="G805" s="152"/>
      <c r="H805" s="152"/>
      <c r="I805" s="152"/>
      <c r="J805" s="152"/>
      <c r="K805" s="152"/>
      <c r="L805" s="152"/>
      <c r="M805" s="152"/>
      <c r="N805" s="152"/>
      <c r="O805" s="7"/>
      <c r="P805" s="197"/>
      <c r="Q805" s="103"/>
      <c r="S805" s="7"/>
      <c r="T805" s="7"/>
      <c r="U805" s="7"/>
      <c r="V805" s="7"/>
    </row>
    <row r="806" spans="2:22" ht="12.5">
      <c r="B806" s="152"/>
      <c r="C806" s="152"/>
      <c r="D806" s="152"/>
      <c r="E806" s="152"/>
      <c r="F806" s="152"/>
      <c r="G806" s="152"/>
      <c r="H806" s="152"/>
      <c r="I806" s="152"/>
      <c r="J806" s="152"/>
      <c r="K806" s="152"/>
      <c r="L806" s="152"/>
      <c r="M806" s="152"/>
      <c r="N806" s="152"/>
      <c r="O806" s="7"/>
      <c r="P806" s="197"/>
      <c r="Q806" s="103"/>
      <c r="S806" s="7"/>
      <c r="T806" s="7"/>
      <c r="U806" s="7"/>
      <c r="V806" s="7"/>
    </row>
    <row r="807" spans="2:22" ht="12.5">
      <c r="B807" s="152"/>
      <c r="C807" s="152"/>
      <c r="D807" s="152"/>
      <c r="E807" s="152"/>
      <c r="F807" s="152"/>
      <c r="G807" s="152"/>
      <c r="H807" s="152"/>
      <c r="I807" s="152"/>
      <c r="J807" s="152"/>
      <c r="K807" s="152"/>
      <c r="L807" s="152"/>
      <c r="M807" s="152"/>
      <c r="N807" s="152"/>
      <c r="O807" s="7"/>
      <c r="P807" s="197"/>
      <c r="Q807" s="103"/>
      <c r="S807" s="7"/>
      <c r="T807" s="7"/>
      <c r="U807" s="7"/>
      <c r="V807" s="7"/>
    </row>
    <row r="808" spans="2:22" ht="12.5">
      <c r="B808" s="152"/>
      <c r="C808" s="152"/>
      <c r="D808" s="152"/>
      <c r="E808" s="152"/>
      <c r="F808" s="152"/>
      <c r="G808" s="152"/>
      <c r="H808" s="152"/>
      <c r="I808" s="152"/>
      <c r="J808" s="152"/>
      <c r="K808" s="152"/>
      <c r="L808" s="152"/>
      <c r="M808" s="152"/>
      <c r="N808" s="152"/>
      <c r="O808" s="7"/>
      <c r="P808" s="197"/>
      <c r="Q808" s="103"/>
      <c r="S808" s="7"/>
      <c r="T808" s="7"/>
      <c r="U808" s="7"/>
      <c r="V808" s="7"/>
    </row>
    <row r="809" spans="2:22" ht="12.5">
      <c r="B809" s="152"/>
      <c r="C809" s="152"/>
      <c r="D809" s="152"/>
      <c r="E809" s="152"/>
      <c r="F809" s="152"/>
      <c r="G809" s="152"/>
      <c r="H809" s="152"/>
      <c r="I809" s="152"/>
      <c r="J809" s="152"/>
      <c r="K809" s="152"/>
      <c r="L809" s="152"/>
      <c r="M809" s="152"/>
      <c r="N809" s="152"/>
      <c r="O809" s="7"/>
      <c r="P809" s="197"/>
      <c r="Q809" s="103"/>
      <c r="S809" s="7"/>
      <c r="T809" s="7"/>
      <c r="U809" s="7"/>
      <c r="V809" s="7"/>
    </row>
    <row r="810" spans="2:22" ht="12.5">
      <c r="B810" s="152"/>
      <c r="C810" s="152"/>
      <c r="D810" s="152"/>
      <c r="E810" s="152"/>
      <c r="F810" s="152"/>
      <c r="G810" s="152"/>
      <c r="H810" s="152"/>
      <c r="I810" s="152"/>
      <c r="J810" s="152"/>
      <c r="K810" s="152"/>
      <c r="L810" s="152"/>
      <c r="M810" s="152"/>
      <c r="N810" s="152"/>
      <c r="O810" s="7"/>
      <c r="P810" s="197"/>
      <c r="Q810" s="103"/>
      <c r="S810" s="7"/>
      <c r="T810" s="7"/>
      <c r="U810" s="7"/>
      <c r="V810" s="7"/>
    </row>
    <row r="811" spans="2:22" ht="12.5">
      <c r="B811" s="152"/>
      <c r="C811" s="152"/>
      <c r="D811" s="152"/>
      <c r="E811" s="152"/>
      <c r="F811" s="152"/>
      <c r="G811" s="152"/>
      <c r="H811" s="152"/>
      <c r="I811" s="152"/>
      <c r="J811" s="152"/>
      <c r="K811" s="152"/>
      <c r="L811" s="152"/>
      <c r="M811" s="152"/>
      <c r="N811" s="152"/>
      <c r="O811" s="7"/>
      <c r="P811" s="197"/>
      <c r="Q811" s="103"/>
      <c r="S811" s="7"/>
      <c r="T811" s="7"/>
      <c r="U811" s="7"/>
      <c r="V811" s="7"/>
    </row>
    <row r="812" spans="2:22" ht="12.5">
      <c r="B812" s="152"/>
      <c r="C812" s="152"/>
      <c r="D812" s="152"/>
      <c r="E812" s="152"/>
      <c r="F812" s="152"/>
      <c r="G812" s="152"/>
      <c r="H812" s="152"/>
      <c r="I812" s="152"/>
      <c r="J812" s="152"/>
      <c r="K812" s="152"/>
      <c r="L812" s="152"/>
      <c r="M812" s="152"/>
      <c r="N812" s="152"/>
      <c r="O812" s="7"/>
      <c r="P812" s="197"/>
      <c r="Q812" s="103"/>
      <c r="S812" s="7"/>
      <c r="T812" s="7"/>
      <c r="U812" s="7"/>
      <c r="V812" s="7"/>
    </row>
    <row r="813" spans="2:22" ht="12.5">
      <c r="B813" s="152"/>
      <c r="C813" s="152"/>
      <c r="D813" s="152"/>
      <c r="E813" s="152"/>
      <c r="F813" s="152"/>
      <c r="G813" s="152"/>
      <c r="H813" s="152"/>
      <c r="I813" s="152"/>
      <c r="J813" s="152"/>
      <c r="K813" s="152"/>
      <c r="L813" s="152"/>
      <c r="M813" s="152"/>
      <c r="N813" s="152"/>
      <c r="O813" s="7"/>
      <c r="P813" s="197"/>
      <c r="Q813" s="103"/>
      <c r="S813" s="7"/>
      <c r="T813" s="7"/>
      <c r="U813" s="7"/>
      <c r="V813" s="7"/>
    </row>
    <row r="814" spans="2:22" ht="12.5">
      <c r="B814" s="152"/>
      <c r="C814" s="152"/>
      <c r="D814" s="152"/>
      <c r="E814" s="152"/>
      <c r="F814" s="152"/>
      <c r="G814" s="152"/>
      <c r="H814" s="152"/>
      <c r="I814" s="152"/>
      <c r="J814" s="152"/>
      <c r="K814" s="152"/>
      <c r="L814" s="152"/>
      <c r="M814" s="152"/>
      <c r="N814" s="152"/>
      <c r="O814" s="7"/>
      <c r="P814" s="197"/>
      <c r="Q814" s="103"/>
      <c r="S814" s="7"/>
      <c r="T814" s="7"/>
      <c r="U814" s="7"/>
      <c r="V814" s="7"/>
    </row>
    <row r="815" spans="2:22" ht="12.5">
      <c r="B815" s="152"/>
      <c r="C815" s="152"/>
      <c r="D815" s="152"/>
      <c r="E815" s="152"/>
      <c r="F815" s="152"/>
      <c r="G815" s="152"/>
      <c r="H815" s="152"/>
      <c r="I815" s="152"/>
      <c r="J815" s="152"/>
      <c r="K815" s="152"/>
      <c r="L815" s="152"/>
      <c r="M815" s="152"/>
      <c r="N815" s="152"/>
      <c r="O815" s="7"/>
      <c r="P815" s="197"/>
      <c r="Q815" s="103"/>
      <c r="S815" s="7"/>
      <c r="T815" s="7"/>
      <c r="U815" s="7"/>
      <c r="V815" s="7"/>
    </row>
    <row r="816" spans="2:22" ht="12.5">
      <c r="B816" s="152"/>
      <c r="C816" s="152"/>
      <c r="D816" s="152"/>
      <c r="E816" s="152"/>
      <c r="F816" s="152"/>
      <c r="G816" s="152"/>
      <c r="H816" s="152"/>
      <c r="I816" s="152"/>
      <c r="J816" s="152"/>
      <c r="K816" s="152"/>
      <c r="L816" s="152"/>
      <c r="M816" s="152"/>
      <c r="N816" s="152"/>
      <c r="O816" s="7"/>
      <c r="P816" s="197"/>
      <c r="Q816" s="103"/>
      <c r="S816" s="7"/>
      <c r="T816" s="7"/>
      <c r="U816" s="7"/>
      <c r="V816" s="7"/>
    </row>
    <row r="817" spans="2:22" ht="12.5">
      <c r="B817" s="152"/>
      <c r="C817" s="152"/>
      <c r="D817" s="152"/>
      <c r="E817" s="152"/>
      <c r="F817" s="152"/>
      <c r="G817" s="152"/>
      <c r="H817" s="152"/>
      <c r="I817" s="152"/>
      <c r="J817" s="152"/>
      <c r="K817" s="152"/>
      <c r="L817" s="152"/>
      <c r="M817" s="152"/>
      <c r="N817" s="152"/>
      <c r="O817" s="7"/>
      <c r="P817" s="197"/>
      <c r="Q817" s="103"/>
      <c r="S817" s="7"/>
      <c r="T817" s="7"/>
      <c r="U817" s="7"/>
      <c r="V817" s="7"/>
    </row>
    <row r="818" spans="2:22" ht="12.5">
      <c r="B818" s="152"/>
      <c r="C818" s="152"/>
      <c r="D818" s="152"/>
      <c r="E818" s="152"/>
      <c r="F818" s="152"/>
      <c r="G818" s="152"/>
      <c r="H818" s="152"/>
      <c r="I818" s="152"/>
      <c r="J818" s="152"/>
      <c r="K818" s="152"/>
      <c r="L818" s="152"/>
      <c r="M818" s="152"/>
      <c r="N818" s="152"/>
      <c r="O818" s="7"/>
      <c r="P818" s="197"/>
      <c r="Q818" s="103"/>
      <c r="S818" s="7"/>
      <c r="T818" s="7"/>
      <c r="U818" s="7"/>
      <c r="V818" s="7"/>
    </row>
    <row r="819" spans="2:22" ht="12.5">
      <c r="B819" s="152"/>
      <c r="C819" s="152"/>
      <c r="D819" s="152"/>
      <c r="E819" s="152"/>
      <c r="F819" s="152"/>
      <c r="G819" s="152"/>
      <c r="H819" s="152"/>
      <c r="I819" s="152"/>
      <c r="J819" s="152"/>
      <c r="K819" s="152"/>
      <c r="L819" s="152"/>
      <c r="M819" s="152"/>
      <c r="N819" s="152"/>
      <c r="O819" s="7"/>
      <c r="P819" s="197"/>
      <c r="Q819" s="103"/>
      <c r="S819" s="7"/>
      <c r="T819" s="7"/>
      <c r="U819" s="7"/>
      <c r="V819" s="7"/>
    </row>
    <row r="820" spans="2:22" ht="12.5">
      <c r="B820" s="152"/>
      <c r="C820" s="152"/>
      <c r="D820" s="152"/>
      <c r="E820" s="152"/>
      <c r="F820" s="152"/>
      <c r="G820" s="152"/>
      <c r="H820" s="152"/>
      <c r="I820" s="152"/>
      <c r="J820" s="152"/>
      <c r="K820" s="152"/>
      <c r="L820" s="152"/>
      <c r="M820" s="152"/>
      <c r="N820" s="152"/>
      <c r="O820" s="7"/>
      <c r="P820" s="197"/>
      <c r="Q820" s="103"/>
      <c r="S820" s="7"/>
      <c r="T820" s="7"/>
      <c r="U820" s="7"/>
      <c r="V820" s="7"/>
    </row>
    <row r="821" spans="2:22" ht="12.5">
      <c r="B821" s="152"/>
      <c r="C821" s="152"/>
      <c r="D821" s="152"/>
      <c r="E821" s="152"/>
      <c r="F821" s="152"/>
      <c r="G821" s="152"/>
      <c r="H821" s="152"/>
      <c r="I821" s="152"/>
      <c r="J821" s="152"/>
      <c r="K821" s="152"/>
      <c r="L821" s="152"/>
      <c r="M821" s="152"/>
      <c r="N821" s="152"/>
      <c r="O821" s="7"/>
      <c r="P821" s="197"/>
      <c r="Q821" s="103"/>
      <c r="S821" s="7"/>
      <c r="T821" s="7"/>
      <c r="U821" s="7"/>
      <c r="V821" s="7"/>
    </row>
    <row r="822" spans="2:22" ht="12.5">
      <c r="B822" s="152"/>
      <c r="C822" s="152"/>
      <c r="D822" s="152"/>
      <c r="E822" s="152"/>
      <c r="F822" s="152"/>
      <c r="G822" s="152"/>
      <c r="H822" s="152"/>
      <c r="I822" s="152"/>
      <c r="J822" s="152"/>
      <c r="K822" s="152"/>
      <c r="L822" s="152"/>
      <c r="M822" s="152"/>
      <c r="N822" s="152"/>
      <c r="O822" s="7"/>
      <c r="P822" s="197"/>
      <c r="Q822" s="103"/>
      <c r="S822" s="7"/>
      <c r="T822" s="7"/>
      <c r="U822" s="7"/>
      <c r="V822" s="7"/>
    </row>
    <row r="823" spans="2:22" ht="12.5">
      <c r="B823" s="152"/>
      <c r="C823" s="152"/>
      <c r="D823" s="152"/>
      <c r="E823" s="152"/>
      <c r="F823" s="152"/>
      <c r="G823" s="152"/>
      <c r="H823" s="152"/>
      <c r="I823" s="152"/>
      <c r="J823" s="152"/>
      <c r="K823" s="152"/>
      <c r="L823" s="152"/>
      <c r="M823" s="152"/>
      <c r="N823" s="152"/>
      <c r="O823" s="7"/>
      <c r="P823" s="197"/>
      <c r="Q823" s="103"/>
      <c r="S823" s="7"/>
      <c r="T823" s="7"/>
      <c r="U823" s="7"/>
      <c r="V823" s="7"/>
    </row>
    <row r="824" spans="2:22" ht="12.5">
      <c r="B824" s="152"/>
      <c r="C824" s="152"/>
      <c r="D824" s="152"/>
      <c r="E824" s="152"/>
      <c r="F824" s="152"/>
      <c r="G824" s="152"/>
      <c r="H824" s="152"/>
      <c r="I824" s="152"/>
      <c r="J824" s="152"/>
      <c r="K824" s="152"/>
      <c r="L824" s="152"/>
      <c r="M824" s="152"/>
      <c r="N824" s="152"/>
      <c r="O824" s="7"/>
      <c r="P824" s="197"/>
      <c r="Q824" s="103"/>
      <c r="S824" s="7"/>
      <c r="T824" s="7"/>
      <c r="U824" s="7"/>
      <c r="V824" s="7"/>
    </row>
    <row r="825" spans="2:22" ht="12.5">
      <c r="B825" s="152"/>
      <c r="C825" s="152"/>
      <c r="D825" s="152"/>
      <c r="E825" s="152"/>
      <c r="F825" s="152"/>
      <c r="G825" s="152"/>
      <c r="H825" s="152"/>
      <c r="I825" s="152"/>
      <c r="J825" s="152"/>
      <c r="K825" s="152"/>
      <c r="L825" s="152"/>
      <c r="M825" s="152"/>
      <c r="N825" s="152"/>
      <c r="O825" s="7"/>
      <c r="P825" s="197"/>
      <c r="Q825" s="103"/>
      <c r="S825" s="7"/>
      <c r="T825" s="7"/>
      <c r="U825" s="7"/>
      <c r="V825" s="7"/>
    </row>
    <row r="826" spans="2:22" ht="12.5">
      <c r="B826" s="152"/>
      <c r="C826" s="152"/>
      <c r="D826" s="152"/>
      <c r="E826" s="152"/>
      <c r="F826" s="152"/>
      <c r="G826" s="152"/>
      <c r="H826" s="152"/>
      <c r="I826" s="152"/>
      <c r="J826" s="152"/>
      <c r="K826" s="152"/>
      <c r="L826" s="152"/>
      <c r="M826" s="152"/>
      <c r="N826" s="152"/>
      <c r="O826" s="7"/>
      <c r="P826" s="197"/>
      <c r="Q826" s="103"/>
      <c r="S826" s="7"/>
      <c r="T826" s="7"/>
      <c r="U826" s="7"/>
      <c r="V826" s="7"/>
    </row>
    <row r="827" spans="2:22" ht="12.5">
      <c r="B827" s="152"/>
      <c r="C827" s="152"/>
      <c r="D827" s="152"/>
      <c r="E827" s="152"/>
      <c r="F827" s="152"/>
      <c r="G827" s="152"/>
      <c r="H827" s="152"/>
      <c r="I827" s="152"/>
      <c r="J827" s="152"/>
      <c r="K827" s="152"/>
      <c r="L827" s="152"/>
      <c r="M827" s="152"/>
      <c r="N827" s="152"/>
      <c r="O827" s="7"/>
      <c r="P827" s="197"/>
      <c r="Q827" s="103"/>
      <c r="S827" s="7"/>
      <c r="T827" s="7"/>
      <c r="U827" s="7"/>
      <c r="V827" s="7"/>
    </row>
    <row r="828" spans="2:22" ht="12.5">
      <c r="B828" s="152"/>
      <c r="C828" s="152"/>
      <c r="D828" s="152"/>
      <c r="E828" s="152"/>
      <c r="F828" s="152"/>
      <c r="G828" s="152"/>
      <c r="H828" s="152"/>
      <c r="I828" s="152"/>
      <c r="J828" s="152"/>
      <c r="K828" s="152"/>
      <c r="L828" s="152"/>
      <c r="M828" s="152"/>
      <c r="N828" s="152"/>
      <c r="O828" s="7"/>
      <c r="P828" s="197"/>
      <c r="Q828" s="103"/>
      <c r="S828" s="7"/>
      <c r="T828" s="7"/>
      <c r="U828" s="7"/>
      <c r="V828" s="7"/>
    </row>
    <row r="829" spans="2:22" ht="12.5">
      <c r="B829" s="152"/>
      <c r="C829" s="152"/>
      <c r="D829" s="152"/>
      <c r="E829" s="152"/>
      <c r="F829" s="152"/>
      <c r="G829" s="152"/>
      <c r="H829" s="152"/>
      <c r="I829" s="152"/>
      <c r="J829" s="152"/>
      <c r="K829" s="152"/>
      <c r="L829" s="152"/>
      <c r="M829" s="152"/>
      <c r="N829" s="152"/>
      <c r="O829" s="7"/>
      <c r="P829" s="197"/>
      <c r="Q829" s="103"/>
      <c r="S829" s="7"/>
      <c r="T829" s="7"/>
      <c r="U829" s="7"/>
      <c r="V829" s="7"/>
    </row>
    <row r="830" spans="2:22" ht="12.5">
      <c r="B830" s="152"/>
      <c r="C830" s="152"/>
      <c r="D830" s="152"/>
      <c r="E830" s="152"/>
      <c r="F830" s="152"/>
      <c r="G830" s="152"/>
      <c r="H830" s="152"/>
      <c r="I830" s="152"/>
      <c r="J830" s="152"/>
      <c r="K830" s="152"/>
      <c r="L830" s="152"/>
      <c r="M830" s="152"/>
      <c r="N830" s="152"/>
      <c r="O830" s="7"/>
      <c r="P830" s="197"/>
      <c r="Q830" s="103"/>
      <c r="S830" s="7"/>
      <c r="T830" s="7"/>
      <c r="U830" s="7"/>
      <c r="V830" s="7"/>
    </row>
    <row r="831" spans="2:22" ht="12.5">
      <c r="B831" s="152"/>
      <c r="C831" s="152"/>
      <c r="D831" s="152"/>
      <c r="E831" s="152"/>
      <c r="F831" s="152"/>
      <c r="G831" s="152"/>
      <c r="H831" s="152"/>
      <c r="I831" s="152"/>
      <c r="J831" s="152"/>
      <c r="K831" s="152"/>
      <c r="L831" s="152"/>
      <c r="M831" s="152"/>
      <c r="N831" s="152"/>
      <c r="O831" s="7"/>
      <c r="P831" s="197"/>
      <c r="Q831" s="103"/>
      <c r="S831" s="7"/>
      <c r="T831" s="7"/>
      <c r="U831" s="7"/>
      <c r="V831" s="7"/>
    </row>
    <row r="832" spans="2:22" ht="12.5">
      <c r="B832" s="152"/>
      <c r="C832" s="152"/>
      <c r="D832" s="152"/>
      <c r="E832" s="152"/>
      <c r="F832" s="152"/>
      <c r="G832" s="152"/>
      <c r="H832" s="152"/>
      <c r="I832" s="152"/>
      <c r="J832" s="152"/>
      <c r="K832" s="152"/>
      <c r="L832" s="152"/>
      <c r="M832" s="152"/>
      <c r="N832" s="152"/>
      <c r="O832" s="7"/>
      <c r="P832" s="197"/>
      <c r="Q832" s="103"/>
      <c r="S832" s="7"/>
      <c r="T832" s="7"/>
      <c r="U832" s="7"/>
      <c r="V832" s="7"/>
    </row>
    <row r="833" spans="2:22" ht="12.5">
      <c r="B833" s="152"/>
      <c r="C833" s="152"/>
      <c r="D833" s="152"/>
      <c r="E833" s="152"/>
      <c r="F833" s="152"/>
      <c r="G833" s="152"/>
      <c r="H833" s="152"/>
      <c r="I833" s="152"/>
      <c r="J833" s="152"/>
      <c r="K833" s="152"/>
      <c r="L833" s="152"/>
      <c r="M833" s="152"/>
      <c r="N833" s="152"/>
      <c r="O833" s="7"/>
      <c r="P833" s="197"/>
      <c r="Q833" s="103"/>
      <c r="S833" s="7"/>
      <c r="T833" s="7"/>
      <c r="U833" s="7"/>
      <c r="V833" s="7"/>
    </row>
    <row r="834" spans="2:22" ht="12.5">
      <c r="B834" s="152"/>
      <c r="C834" s="152"/>
      <c r="D834" s="152"/>
      <c r="E834" s="152"/>
      <c r="F834" s="152"/>
      <c r="G834" s="152"/>
      <c r="H834" s="152"/>
      <c r="I834" s="152"/>
      <c r="J834" s="152"/>
      <c r="K834" s="152"/>
      <c r="L834" s="152"/>
      <c r="M834" s="152"/>
      <c r="N834" s="152"/>
      <c r="O834" s="7"/>
      <c r="P834" s="197"/>
      <c r="Q834" s="103"/>
      <c r="S834" s="7"/>
      <c r="T834" s="7"/>
      <c r="U834" s="7"/>
      <c r="V834" s="7"/>
    </row>
    <row r="835" spans="2:22" ht="12.5">
      <c r="B835" s="152"/>
      <c r="C835" s="152"/>
      <c r="D835" s="152"/>
      <c r="E835" s="152"/>
      <c r="F835" s="152"/>
      <c r="G835" s="152"/>
      <c r="H835" s="152"/>
      <c r="I835" s="152"/>
      <c r="J835" s="152"/>
      <c r="K835" s="152"/>
      <c r="L835" s="152"/>
      <c r="M835" s="152"/>
      <c r="N835" s="152"/>
      <c r="O835" s="7"/>
      <c r="P835" s="197"/>
      <c r="Q835" s="103"/>
      <c r="S835" s="7"/>
      <c r="T835" s="7"/>
      <c r="U835" s="7"/>
      <c r="V835" s="7"/>
    </row>
    <row r="836" spans="2:22" ht="12.5">
      <c r="B836" s="152"/>
      <c r="C836" s="152"/>
      <c r="D836" s="152"/>
      <c r="E836" s="152"/>
      <c r="F836" s="152"/>
      <c r="G836" s="152"/>
      <c r="H836" s="152"/>
      <c r="I836" s="152"/>
      <c r="J836" s="152"/>
      <c r="K836" s="152"/>
      <c r="L836" s="152"/>
      <c r="M836" s="152"/>
      <c r="N836" s="152"/>
      <c r="O836" s="7"/>
      <c r="P836" s="197"/>
      <c r="Q836" s="103"/>
      <c r="S836" s="7"/>
      <c r="T836" s="7"/>
      <c r="U836" s="7"/>
      <c r="V836" s="7"/>
    </row>
    <row r="837" spans="2:22" ht="12.5">
      <c r="B837" s="152"/>
      <c r="C837" s="152"/>
      <c r="D837" s="152"/>
      <c r="E837" s="152"/>
      <c r="F837" s="152"/>
      <c r="G837" s="152"/>
      <c r="H837" s="152"/>
      <c r="I837" s="152"/>
      <c r="J837" s="152"/>
      <c r="K837" s="152"/>
      <c r="L837" s="152"/>
      <c r="M837" s="152"/>
      <c r="N837" s="152"/>
      <c r="O837" s="7"/>
      <c r="P837" s="197"/>
      <c r="Q837" s="103"/>
      <c r="S837" s="7"/>
      <c r="T837" s="7"/>
      <c r="U837" s="7"/>
      <c r="V837" s="7"/>
    </row>
    <row r="838" spans="2:22" ht="12.5">
      <c r="B838" s="152"/>
      <c r="C838" s="152"/>
      <c r="D838" s="152"/>
      <c r="E838" s="152"/>
      <c r="F838" s="152"/>
      <c r="G838" s="152"/>
      <c r="H838" s="152"/>
      <c r="I838" s="152"/>
      <c r="J838" s="152"/>
      <c r="K838" s="152"/>
      <c r="L838" s="152"/>
      <c r="M838" s="152"/>
      <c r="N838" s="152"/>
      <c r="O838" s="7"/>
      <c r="P838" s="197"/>
      <c r="Q838" s="103"/>
      <c r="S838" s="7"/>
      <c r="T838" s="7"/>
      <c r="U838" s="7"/>
      <c r="V838" s="7"/>
    </row>
    <row r="839" spans="2:22" ht="12.5">
      <c r="B839" s="152"/>
      <c r="C839" s="152"/>
      <c r="D839" s="152"/>
      <c r="E839" s="152"/>
      <c r="F839" s="152"/>
      <c r="G839" s="152"/>
      <c r="H839" s="152"/>
      <c r="I839" s="152"/>
      <c r="J839" s="152"/>
      <c r="K839" s="152"/>
      <c r="L839" s="152"/>
      <c r="M839" s="152"/>
      <c r="N839" s="152"/>
      <c r="O839" s="7"/>
      <c r="P839" s="197"/>
      <c r="Q839" s="103"/>
      <c r="S839" s="7"/>
      <c r="T839" s="7"/>
      <c r="U839" s="7"/>
      <c r="V839" s="7"/>
    </row>
    <row r="840" spans="2:22" ht="12.5">
      <c r="B840" s="152"/>
      <c r="C840" s="152"/>
      <c r="D840" s="152"/>
      <c r="E840" s="152"/>
      <c r="F840" s="152"/>
      <c r="G840" s="152"/>
      <c r="H840" s="152"/>
      <c r="I840" s="152"/>
      <c r="J840" s="152"/>
      <c r="K840" s="152"/>
      <c r="L840" s="152"/>
      <c r="M840" s="152"/>
      <c r="N840" s="152"/>
      <c r="O840" s="7"/>
      <c r="P840" s="197"/>
      <c r="Q840" s="103"/>
      <c r="S840" s="7"/>
      <c r="T840" s="7"/>
      <c r="U840" s="7"/>
      <c r="V840" s="7"/>
    </row>
    <row r="841" spans="2:22" ht="12.5">
      <c r="B841" s="152"/>
      <c r="C841" s="152"/>
      <c r="D841" s="152"/>
      <c r="E841" s="152"/>
      <c r="F841" s="152"/>
      <c r="G841" s="152"/>
      <c r="H841" s="152"/>
      <c r="I841" s="152"/>
      <c r="J841" s="152"/>
      <c r="K841" s="152"/>
      <c r="L841" s="152"/>
      <c r="M841" s="152"/>
      <c r="N841" s="152"/>
      <c r="O841" s="7"/>
      <c r="P841" s="197"/>
      <c r="Q841" s="103"/>
      <c r="S841" s="7"/>
      <c r="T841" s="7"/>
      <c r="U841" s="7"/>
      <c r="V841" s="7"/>
    </row>
    <row r="842" spans="2:22" ht="12.5">
      <c r="B842" s="152"/>
      <c r="C842" s="152"/>
      <c r="D842" s="152"/>
      <c r="E842" s="152"/>
      <c r="F842" s="152"/>
      <c r="G842" s="152"/>
      <c r="H842" s="152"/>
      <c r="I842" s="152"/>
      <c r="J842" s="152"/>
      <c r="K842" s="152"/>
      <c r="L842" s="152"/>
      <c r="M842" s="152"/>
      <c r="N842" s="152"/>
      <c r="O842" s="7"/>
      <c r="P842" s="197"/>
      <c r="Q842" s="103"/>
      <c r="S842" s="7"/>
      <c r="T842" s="7"/>
      <c r="U842" s="7"/>
      <c r="V842" s="7"/>
    </row>
    <row r="843" spans="2:22" ht="12.5">
      <c r="B843" s="152"/>
      <c r="C843" s="152"/>
      <c r="D843" s="152"/>
      <c r="E843" s="152"/>
      <c r="F843" s="152"/>
      <c r="G843" s="152"/>
      <c r="H843" s="152"/>
      <c r="I843" s="152"/>
      <c r="J843" s="152"/>
      <c r="K843" s="152"/>
      <c r="L843" s="152"/>
      <c r="M843" s="152"/>
      <c r="N843" s="152"/>
      <c r="O843" s="7"/>
      <c r="P843" s="197"/>
      <c r="Q843" s="103"/>
      <c r="S843" s="7"/>
      <c r="T843" s="7"/>
      <c r="U843" s="7"/>
      <c r="V843" s="7"/>
    </row>
    <row r="844" spans="2:22" ht="12.5">
      <c r="B844" s="152"/>
      <c r="C844" s="152"/>
      <c r="D844" s="152"/>
      <c r="E844" s="152"/>
      <c r="F844" s="152"/>
      <c r="G844" s="152"/>
      <c r="H844" s="152"/>
      <c r="I844" s="152"/>
      <c r="J844" s="152"/>
      <c r="K844" s="152"/>
      <c r="L844" s="152"/>
      <c r="M844" s="152"/>
      <c r="N844" s="152"/>
      <c r="O844" s="7"/>
      <c r="P844" s="197"/>
      <c r="Q844" s="103"/>
      <c r="S844" s="7"/>
      <c r="T844" s="7"/>
      <c r="U844" s="7"/>
      <c r="V844" s="7"/>
    </row>
    <row r="845" spans="2:22" ht="12.5">
      <c r="B845" s="152"/>
      <c r="C845" s="152"/>
      <c r="D845" s="152"/>
      <c r="E845" s="152"/>
      <c r="F845" s="152"/>
      <c r="G845" s="152"/>
      <c r="H845" s="152"/>
      <c r="I845" s="152"/>
      <c r="J845" s="152"/>
      <c r="K845" s="152"/>
      <c r="L845" s="152"/>
      <c r="M845" s="152"/>
      <c r="N845" s="152"/>
      <c r="O845" s="7"/>
      <c r="P845" s="197"/>
      <c r="Q845" s="103"/>
      <c r="S845" s="7"/>
      <c r="T845" s="7"/>
      <c r="U845" s="7"/>
      <c r="V845" s="7"/>
    </row>
    <row r="846" spans="2:22" ht="12.5">
      <c r="B846" s="152"/>
      <c r="C846" s="152"/>
      <c r="D846" s="152"/>
      <c r="E846" s="152"/>
      <c r="F846" s="152"/>
      <c r="G846" s="152"/>
      <c r="H846" s="152"/>
      <c r="I846" s="152"/>
      <c r="J846" s="152"/>
      <c r="K846" s="152"/>
      <c r="L846" s="152"/>
      <c r="M846" s="152"/>
      <c r="N846" s="152"/>
      <c r="O846" s="7"/>
      <c r="P846" s="197"/>
      <c r="Q846" s="103"/>
      <c r="S846" s="7"/>
      <c r="T846" s="7"/>
      <c r="U846" s="7"/>
      <c r="V846" s="7"/>
    </row>
    <row r="847" spans="2:22" ht="12.5">
      <c r="B847" s="152"/>
      <c r="C847" s="152"/>
      <c r="D847" s="152"/>
      <c r="E847" s="152"/>
      <c r="F847" s="152"/>
      <c r="G847" s="152"/>
      <c r="H847" s="152"/>
      <c r="I847" s="152"/>
      <c r="J847" s="152"/>
      <c r="K847" s="152"/>
      <c r="L847" s="152"/>
      <c r="M847" s="152"/>
      <c r="N847" s="152"/>
      <c r="O847" s="7"/>
      <c r="P847" s="197"/>
      <c r="Q847" s="103"/>
      <c r="S847" s="7"/>
      <c r="T847" s="7"/>
      <c r="U847" s="7"/>
      <c r="V847" s="7"/>
    </row>
    <row r="848" spans="2:22" ht="12.5">
      <c r="B848" s="152"/>
      <c r="C848" s="152"/>
      <c r="D848" s="152"/>
      <c r="E848" s="152"/>
      <c r="F848" s="152"/>
      <c r="G848" s="152"/>
      <c r="H848" s="152"/>
      <c r="I848" s="152"/>
      <c r="J848" s="152"/>
      <c r="K848" s="152"/>
      <c r="L848" s="152"/>
      <c r="M848" s="152"/>
      <c r="N848" s="152"/>
      <c r="O848" s="7"/>
      <c r="P848" s="197"/>
      <c r="Q848" s="103"/>
      <c r="S848" s="7"/>
      <c r="T848" s="7"/>
      <c r="U848" s="7"/>
      <c r="V848" s="7"/>
    </row>
    <row r="849" spans="2:22" ht="12.5">
      <c r="B849" s="152"/>
      <c r="C849" s="152"/>
      <c r="D849" s="152"/>
      <c r="E849" s="152"/>
      <c r="F849" s="152"/>
      <c r="G849" s="152"/>
      <c r="H849" s="152"/>
      <c r="I849" s="152"/>
      <c r="J849" s="152"/>
      <c r="K849" s="152"/>
      <c r="L849" s="152"/>
      <c r="M849" s="152"/>
      <c r="N849" s="152"/>
      <c r="O849" s="7"/>
      <c r="P849" s="197"/>
      <c r="Q849" s="103"/>
      <c r="S849" s="7"/>
      <c r="T849" s="7"/>
      <c r="U849" s="7"/>
      <c r="V849" s="7"/>
    </row>
    <row r="850" spans="2:22" ht="12.5">
      <c r="B850" s="152"/>
      <c r="C850" s="152"/>
      <c r="D850" s="152"/>
      <c r="E850" s="152"/>
      <c r="F850" s="152"/>
      <c r="G850" s="152"/>
      <c r="H850" s="152"/>
      <c r="I850" s="152"/>
      <c r="J850" s="152"/>
      <c r="K850" s="152"/>
      <c r="L850" s="152"/>
      <c r="M850" s="152"/>
      <c r="N850" s="152"/>
      <c r="O850" s="7"/>
      <c r="P850" s="197"/>
      <c r="Q850" s="103"/>
      <c r="S850" s="7"/>
      <c r="T850" s="7"/>
      <c r="U850" s="7"/>
      <c r="V850" s="7"/>
    </row>
    <row r="851" spans="2:22" ht="12.5">
      <c r="B851" s="152"/>
      <c r="C851" s="152"/>
      <c r="D851" s="152"/>
      <c r="E851" s="152"/>
      <c r="F851" s="152"/>
      <c r="G851" s="152"/>
      <c r="H851" s="152"/>
      <c r="I851" s="152"/>
      <c r="J851" s="152"/>
      <c r="K851" s="152"/>
      <c r="L851" s="152"/>
      <c r="M851" s="152"/>
      <c r="N851" s="152"/>
      <c r="O851" s="7"/>
      <c r="P851" s="197"/>
      <c r="Q851" s="103"/>
      <c r="S851" s="7"/>
      <c r="T851" s="7"/>
      <c r="U851" s="7"/>
      <c r="V851" s="7"/>
    </row>
    <row r="852" spans="2:22" ht="12.5">
      <c r="B852" s="152"/>
      <c r="C852" s="152"/>
      <c r="D852" s="152"/>
      <c r="E852" s="152"/>
      <c r="F852" s="152"/>
      <c r="G852" s="152"/>
      <c r="H852" s="152"/>
      <c r="I852" s="152"/>
      <c r="J852" s="152"/>
      <c r="K852" s="152"/>
      <c r="L852" s="152"/>
      <c r="M852" s="152"/>
      <c r="N852" s="152"/>
      <c r="O852" s="7"/>
      <c r="P852" s="197"/>
      <c r="Q852" s="103"/>
      <c r="S852" s="7"/>
      <c r="T852" s="7"/>
      <c r="U852" s="7"/>
      <c r="V852" s="7"/>
    </row>
    <row r="853" spans="2:22" ht="12.5">
      <c r="B853" s="152"/>
      <c r="C853" s="152"/>
      <c r="D853" s="152"/>
      <c r="E853" s="152"/>
      <c r="F853" s="152"/>
      <c r="G853" s="152"/>
      <c r="H853" s="152"/>
      <c r="I853" s="152"/>
      <c r="J853" s="152"/>
      <c r="K853" s="152"/>
      <c r="L853" s="152"/>
      <c r="M853" s="152"/>
      <c r="N853" s="152"/>
      <c r="O853" s="7"/>
      <c r="P853" s="197"/>
      <c r="Q853" s="103"/>
      <c r="S853" s="7"/>
      <c r="T853" s="7"/>
      <c r="U853" s="7"/>
      <c r="V853" s="7"/>
    </row>
    <row r="854" spans="2:22" ht="12.5">
      <c r="B854" s="152"/>
      <c r="C854" s="152"/>
      <c r="D854" s="152"/>
      <c r="E854" s="152"/>
      <c r="F854" s="152"/>
      <c r="G854" s="152"/>
      <c r="H854" s="152"/>
      <c r="I854" s="152"/>
      <c r="J854" s="152"/>
      <c r="K854" s="152"/>
      <c r="L854" s="152"/>
      <c r="M854" s="152"/>
      <c r="N854" s="152"/>
      <c r="O854" s="7"/>
      <c r="P854" s="197"/>
      <c r="Q854" s="103"/>
      <c r="S854" s="7"/>
      <c r="T854" s="7"/>
      <c r="U854" s="7"/>
      <c r="V854" s="7"/>
    </row>
    <row r="855" spans="2:22" ht="12.5">
      <c r="B855" s="152"/>
      <c r="C855" s="152"/>
      <c r="D855" s="152"/>
      <c r="E855" s="152"/>
      <c r="F855" s="152"/>
      <c r="G855" s="152"/>
      <c r="H855" s="152"/>
      <c r="I855" s="152"/>
      <c r="J855" s="152"/>
      <c r="K855" s="152"/>
      <c r="L855" s="152"/>
      <c r="M855" s="152"/>
      <c r="N855" s="152"/>
      <c r="O855" s="7"/>
      <c r="P855" s="197"/>
      <c r="Q855" s="103"/>
      <c r="S855" s="7"/>
      <c r="T855" s="7"/>
      <c r="U855" s="7"/>
      <c r="V855" s="7"/>
    </row>
    <row r="856" spans="2:22" ht="12.5">
      <c r="B856" s="152"/>
      <c r="C856" s="152"/>
      <c r="D856" s="152"/>
      <c r="E856" s="152"/>
      <c r="F856" s="152"/>
      <c r="G856" s="152"/>
      <c r="H856" s="152"/>
      <c r="I856" s="152"/>
      <c r="J856" s="152"/>
      <c r="K856" s="152"/>
      <c r="L856" s="152"/>
      <c r="M856" s="152"/>
      <c r="N856" s="152"/>
      <c r="O856" s="7"/>
      <c r="P856" s="197"/>
      <c r="Q856" s="103"/>
      <c r="S856" s="7"/>
      <c r="T856" s="7"/>
      <c r="U856" s="7"/>
      <c r="V856" s="7"/>
    </row>
    <row r="857" spans="2:22" ht="12.5">
      <c r="B857" s="152"/>
      <c r="C857" s="152"/>
      <c r="D857" s="152"/>
      <c r="E857" s="152"/>
      <c r="F857" s="152"/>
      <c r="G857" s="152"/>
      <c r="H857" s="152"/>
      <c r="I857" s="152"/>
      <c r="J857" s="152"/>
      <c r="K857" s="152"/>
      <c r="L857" s="152"/>
      <c r="M857" s="152"/>
      <c r="N857" s="152"/>
      <c r="O857" s="7"/>
      <c r="P857" s="197"/>
      <c r="Q857" s="103"/>
      <c r="S857" s="7"/>
      <c r="T857" s="7"/>
      <c r="U857" s="7"/>
      <c r="V857" s="7"/>
    </row>
    <row r="858" spans="2:22" ht="12.5">
      <c r="B858" s="152"/>
      <c r="C858" s="152"/>
      <c r="D858" s="152"/>
      <c r="E858" s="152"/>
      <c r="F858" s="152"/>
      <c r="G858" s="152"/>
      <c r="H858" s="152"/>
      <c r="I858" s="152"/>
      <c r="J858" s="152"/>
      <c r="K858" s="152"/>
      <c r="L858" s="152"/>
      <c r="M858" s="152"/>
      <c r="N858" s="152"/>
      <c r="O858" s="7"/>
      <c r="P858" s="197"/>
      <c r="Q858" s="103"/>
      <c r="S858" s="7"/>
      <c r="T858" s="7"/>
      <c r="U858" s="7"/>
      <c r="V858" s="7"/>
    </row>
    <row r="859" spans="2:22" ht="12.5">
      <c r="B859" s="152"/>
      <c r="C859" s="152"/>
      <c r="D859" s="152"/>
      <c r="E859" s="152"/>
      <c r="F859" s="152"/>
      <c r="G859" s="152"/>
      <c r="H859" s="152"/>
      <c r="I859" s="152"/>
      <c r="J859" s="152"/>
      <c r="K859" s="152"/>
      <c r="L859" s="152"/>
      <c r="M859" s="152"/>
      <c r="N859" s="152"/>
      <c r="O859" s="7"/>
      <c r="P859" s="197"/>
      <c r="Q859" s="103"/>
      <c r="S859" s="7"/>
      <c r="T859" s="7"/>
      <c r="U859" s="7"/>
      <c r="V859" s="7"/>
    </row>
    <row r="860" spans="2:22" ht="12.5">
      <c r="B860" s="152"/>
      <c r="C860" s="152"/>
      <c r="D860" s="152"/>
      <c r="E860" s="152"/>
      <c r="F860" s="152"/>
      <c r="G860" s="152"/>
      <c r="H860" s="152"/>
      <c r="I860" s="152"/>
      <c r="J860" s="152"/>
      <c r="K860" s="152"/>
      <c r="L860" s="152"/>
      <c r="M860" s="152"/>
      <c r="N860" s="152"/>
      <c r="O860" s="7"/>
      <c r="P860" s="197"/>
      <c r="Q860" s="103"/>
      <c r="S860" s="7"/>
      <c r="T860" s="7"/>
      <c r="U860" s="7"/>
      <c r="V860" s="7"/>
    </row>
    <row r="861" spans="2:22" ht="12.5">
      <c r="B861" s="152"/>
      <c r="C861" s="152"/>
      <c r="D861" s="152"/>
      <c r="E861" s="152"/>
      <c r="F861" s="152"/>
      <c r="G861" s="152"/>
      <c r="H861" s="152"/>
      <c r="I861" s="152"/>
      <c r="J861" s="152"/>
      <c r="K861" s="152"/>
      <c r="L861" s="152"/>
      <c r="M861" s="152"/>
      <c r="N861" s="152"/>
      <c r="O861" s="7"/>
      <c r="P861" s="197"/>
      <c r="Q861" s="103"/>
      <c r="S861" s="7"/>
      <c r="T861" s="7"/>
      <c r="U861" s="7"/>
      <c r="V861" s="7"/>
    </row>
    <row r="862" spans="2:22" ht="12.5">
      <c r="B862" s="152"/>
      <c r="C862" s="152"/>
      <c r="D862" s="152"/>
      <c r="E862" s="152"/>
      <c r="F862" s="152"/>
      <c r="G862" s="152"/>
      <c r="H862" s="152"/>
      <c r="I862" s="152"/>
      <c r="J862" s="152"/>
      <c r="K862" s="152"/>
      <c r="L862" s="152"/>
      <c r="M862" s="152"/>
      <c r="N862" s="152"/>
      <c r="O862" s="7"/>
      <c r="P862" s="197"/>
      <c r="Q862" s="103"/>
      <c r="S862" s="7"/>
      <c r="T862" s="7"/>
      <c r="U862" s="7"/>
      <c r="V862" s="7"/>
    </row>
    <row r="863" spans="2:22" ht="12.5">
      <c r="B863" s="152"/>
      <c r="C863" s="152"/>
      <c r="D863" s="152"/>
      <c r="E863" s="152"/>
      <c r="F863" s="152"/>
      <c r="G863" s="152"/>
      <c r="H863" s="152"/>
      <c r="I863" s="152"/>
      <c r="J863" s="152"/>
      <c r="K863" s="152"/>
      <c r="L863" s="152"/>
      <c r="M863" s="152"/>
      <c r="N863" s="152"/>
      <c r="O863" s="7"/>
      <c r="P863" s="197"/>
      <c r="Q863" s="103"/>
      <c r="S863" s="7"/>
      <c r="T863" s="7"/>
      <c r="U863" s="7"/>
      <c r="V863" s="7"/>
    </row>
    <row r="864" spans="2:22" ht="12.5">
      <c r="B864" s="152"/>
      <c r="C864" s="152"/>
      <c r="D864" s="152"/>
      <c r="E864" s="152"/>
      <c r="F864" s="152"/>
      <c r="G864" s="152"/>
      <c r="H864" s="152"/>
      <c r="I864" s="152"/>
      <c r="J864" s="152"/>
      <c r="K864" s="152"/>
      <c r="L864" s="152"/>
      <c r="M864" s="152"/>
      <c r="N864" s="152"/>
      <c r="O864" s="7"/>
      <c r="P864" s="197"/>
      <c r="Q864" s="103"/>
      <c r="S864" s="7"/>
      <c r="T864" s="7"/>
      <c r="U864" s="7"/>
      <c r="V864" s="7"/>
    </row>
    <row r="865" spans="2:22" ht="12.5">
      <c r="B865" s="152"/>
      <c r="C865" s="152"/>
      <c r="D865" s="152"/>
      <c r="E865" s="152"/>
      <c r="F865" s="152"/>
      <c r="G865" s="152"/>
      <c r="H865" s="152"/>
      <c r="I865" s="152"/>
      <c r="J865" s="152"/>
      <c r="K865" s="152"/>
      <c r="L865" s="152"/>
      <c r="M865" s="152"/>
      <c r="N865" s="152"/>
      <c r="O865" s="7"/>
      <c r="P865" s="197"/>
      <c r="Q865" s="103"/>
      <c r="S865" s="7"/>
      <c r="T865" s="7"/>
      <c r="U865" s="7"/>
      <c r="V865" s="7"/>
    </row>
    <row r="866" spans="2:22" ht="12.5">
      <c r="B866" s="152"/>
      <c r="C866" s="152"/>
      <c r="D866" s="152"/>
      <c r="E866" s="152"/>
      <c r="F866" s="152"/>
      <c r="G866" s="152"/>
      <c r="H866" s="152"/>
      <c r="I866" s="152"/>
      <c r="J866" s="152"/>
      <c r="K866" s="152"/>
      <c r="L866" s="152"/>
      <c r="M866" s="152"/>
      <c r="N866" s="152"/>
      <c r="O866" s="7"/>
      <c r="P866" s="197"/>
      <c r="Q866" s="103"/>
      <c r="S866" s="7"/>
      <c r="T866" s="7"/>
      <c r="U866" s="7"/>
      <c r="V866" s="7"/>
    </row>
    <row r="867" spans="2:22" ht="12.5">
      <c r="B867" s="152"/>
      <c r="C867" s="152"/>
      <c r="D867" s="152"/>
      <c r="E867" s="152"/>
      <c r="F867" s="152"/>
      <c r="G867" s="152"/>
      <c r="H867" s="152"/>
      <c r="I867" s="152"/>
      <c r="J867" s="152"/>
      <c r="K867" s="152"/>
      <c r="L867" s="152"/>
      <c r="M867" s="152"/>
      <c r="N867" s="152"/>
      <c r="O867" s="7"/>
      <c r="P867" s="197"/>
      <c r="Q867" s="103"/>
      <c r="S867" s="7"/>
      <c r="T867" s="7"/>
      <c r="U867" s="7"/>
      <c r="V867" s="7"/>
    </row>
    <row r="868" spans="2:22" ht="12.5">
      <c r="B868" s="152"/>
      <c r="C868" s="152"/>
      <c r="D868" s="152"/>
      <c r="E868" s="152"/>
      <c r="F868" s="152"/>
      <c r="G868" s="152"/>
      <c r="H868" s="152"/>
      <c r="I868" s="152"/>
      <c r="J868" s="152"/>
      <c r="K868" s="152"/>
      <c r="L868" s="152"/>
      <c r="M868" s="152"/>
      <c r="N868" s="152"/>
      <c r="O868" s="7"/>
      <c r="P868" s="197"/>
      <c r="Q868" s="103"/>
      <c r="S868" s="7"/>
      <c r="T868" s="7"/>
      <c r="U868" s="7"/>
      <c r="V868" s="7"/>
    </row>
    <row r="869" spans="2:22" ht="12.5">
      <c r="B869" s="152"/>
      <c r="C869" s="152"/>
      <c r="D869" s="152"/>
      <c r="E869" s="152"/>
      <c r="F869" s="152"/>
      <c r="G869" s="152"/>
      <c r="H869" s="152"/>
      <c r="I869" s="152"/>
      <c r="J869" s="152"/>
      <c r="K869" s="152"/>
      <c r="L869" s="152"/>
      <c r="M869" s="152"/>
      <c r="N869" s="152"/>
      <c r="O869" s="7"/>
      <c r="P869" s="197"/>
      <c r="Q869" s="103"/>
      <c r="S869" s="7"/>
      <c r="T869" s="7"/>
      <c r="U869" s="7"/>
      <c r="V869" s="7"/>
    </row>
    <row r="870" spans="2:22" ht="12.5">
      <c r="B870" s="152"/>
      <c r="C870" s="152"/>
      <c r="D870" s="152"/>
      <c r="E870" s="152"/>
      <c r="F870" s="152"/>
      <c r="G870" s="152"/>
      <c r="H870" s="152"/>
      <c r="I870" s="152"/>
      <c r="J870" s="152"/>
      <c r="K870" s="152"/>
      <c r="L870" s="152"/>
      <c r="M870" s="152"/>
      <c r="N870" s="152"/>
      <c r="O870" s="7"/>
      <c r="P870" s="197"/>
      <c r="Q870" s="103"/>
      <c r="S870" s="7"/>
      <c r="T870" s="7"/>
      <c r="U870" s="7"/>
      <c r="V870" s="7"/>
    </row>
    <row r="871" spans="2:22" ht="12.5">
      <c r="B871" s="152"/>
      <c r="C871" s="152"/>
      <c r="D871" s="152"/>
      <c r="E871" s="152"/>
      <c r="F871" s="152"/>
      <c r="G871" s="152"/>
      <c r="H871" s="152"/>
      <c r="I871" s="152"/>
      <c r="J871" s="152"/>
      <c r="K871" s="152"/>
      <c r="L871" s="152"/>
      <c r="M871" s="152"/>
      <c r="N871" s="152"/>
      <c r="O871" s="7"/>
      <c r="P871" s="197"/>
      <c r="Q871" s="103"/>
      <c r="S871" s="7"/>
      <c r="T871" s="7"/>
      <c r="U871" s="7"/>
      <c r="V871" s="7"/>
    </row>
    <row r="872" spans="2:22" ht="12.5">
      <c r="B872" s="152"/>
      <c r="C872" s="152"/>
      <c r="D872" s="152"/>
      <c r="E872" s="152"/>
      <c r="F872" s="152"/>
      <c r="G872" s="152"/>
      <c r="H872" s="152"/>
      <c r="I872" s="152"/>
      <c r="J872" s="152"/>
      <c r="K872" s="152"/>
      <c r="L872" s="152"/>
      <c r="M872" s="152"/>
      <c r="N872" s="152"/>
      <c r="O872" s="7"/>
      <c r="P872" s="197"/>
      <c r="Q872" s="103"/>
      <c r="S872" s="7"/>
      <c r="T872" s="7"/>
      <c r="U872" s="7"/>
      <c r="V872" s="7"/>
    </row>
    <row r="873" spans="2:22" ht="12.5">
      <c r="B873" s="152"/>
      <c r="C873" s="152"/>
      <c r="D873" s="152"/>
      <c r="E873" s="152"/>
      <c r="F873" s="152"/>
      <c r="G873" s="152"/>
      <c r="H873" s="152"/>
      <c r="I873" s="152"/>
      <c r="J873" s="152"/>
      <c r="K873" s="152"/>
      <c r="L873" s="152"/>
      <c r="M873" s="152"/>
      <c r="N873" s="152"/>
      <c r="O873" s="7"/>
      <c r="P873" s="197"/>
      <c r="Q873" s="103"/>
      <c r="S873" s="7"/>
      <c r="T873" s="7"/>
      <c r="U873" s="7"/>
      <c r="V873" s="7"/>
    </row>
    <row r="874" spans="2:22" ht="12.5">
      <c r="B874" s="152"/>
      <c r="C874" s="152"/>
      <c r="D874" s="152"/>
      <c r="E874" s="152"/>
      <c r="F874" s="152"/>
      <c r="G874" s="152"/>
      <c r="H874" s="152"/>
      <c r="I874" s="152"/>
      <c r="J874" s="152"/>
      <c r="K874" s="152"/>
      <c r="L874" s="152"/>
      <c r="M874" s="152"/>
      <c r="N874" s="152"/>
      <c r="O874" s="7"/>
      <c r="P874" s="197"/>
      <c r="Q874" s="103"/>
      <c r="S874" s="7"/>
      <c r="T874" s="7"/>
      <c r="U874" s="7"/>
      <c r="V874" s="7"/>
    </row>
    <row r="875" spans="2:22" ht="12.5">
      <c r="B875" s="152"/>
      <c r="C875" s="152"/>
      <c r="D875" s="152"/>
      <c r="E875" s="152"/>
      <c r="F875" s="152"/>
      <c r="G875" s="152"/>
      <c r="H875" s="152"/>
      <c r="I875" s="152"/>
      <c r="J875" s="152"/>
      <c r="K875" s="152"/>
      <c r="L875" s="152"/>
      <c r="M875" s="152"/>
      <c r="N875" s="152"/>
      <c r="O875" s="7"/>
      <c r="P875" s="197"/>
      <c r="Q875" s="103"/>
      <c r="S875" s="7"/>
      <c r="T875" s="7"/>
      <c r="U875" s="7"/>
      <c r="V875" s="7"/>
    </row>
    <row r="876" spans="2:22" ht="12.5">
      <c r="B876" s="152"/>
      <c r="C876" s="152"/>
      <c r="D876" s="152"/>
      <c r="E876" s="152"/>
      <c r="F876" s="152"/>
      <c r="G876" s="152"/>
      <c r="H876" s="152"/>
      <c r="I876" s="152"/>
      <c r="J876" s="152"/>
      <c r="K876" s="152"/>
      <c r="L876" s="152"/>
      <c r="M876" s="152"/>
      <c r="N876" s="152"/>
      <c r="O876" s="7"/>
      <c r="P876" s="197"/>
      <c r="Q876" s="103"/>
      <c r="S876" s="7"/>
      <c r="T876" s="7"/>
      <c r="U876" s="7"/>
      <c r="V876" s="7"/>
    </row>
    <row r="877" spans="2:22" ht="12.5">
      <c r="B877" s="152"/>
      <c r="C877" s="152"/>
      <c r="D877" s="152"/>
      <c r="E877" s="152"/>
      <c r="F877" s="152"/>
      <c r="G877" s="152"/>
      <c r="H877" s="152"/>
      <c r="I877" s="152"/>
      <c r="J877" s="152"/>
      <c r="K877" s="152"/>
      <c r="L877" s="152"/>
      <c r="M877" s="152"/>
      <c r="N877" s="152"/>
      <c r="O877" s="7"/>
      <c r="P877" s="197"/>
      <c r="Q877" s="103"/>
      <c r="S877" s="7"/>
      <c r="T877" s="7"/>
      <c r="U877" s="7"/>
      <c r="V877" s="7"/>
    </row>
    <row r="878" spans="2:22" ht="12.5">
      <c r="B878" s="152"/>
      <c r="C878" s="152"/>
      <c r="D878" s="152"/>
      <c r="E878" s="152"/>
      <c r="F878" s="152"/>
      <c r="G878" s="152"/>
      <c r="H878" s="152"/>
      <c r="I878" s="152"/>
      <c r="J878" s="152"/>
      <c r="K878" s="152"/>
      <c r="L878" s="152"/>
      <c r="M878" s="152"/>
      <c r="N878" s="152"/>
      <c r="O878" s="7"/>
      <c r="P878" s="197"/>
      <c r="Q878" s="103"/>
      <c r="S878" s="7"/>
      <c r="T878" s="7"/>
      <c r="U878" s="7"/>
      <c r="V878" s="7"/>
    </row>
    <row r="879" spans="2:22" ht="12.5">
      <c r="B879" s="152"/>
      <c r="C879" s="152"/>
      <c r="D879" s="152"/>
      <c r="E879" s="152"/>
      <c r="F879" s="152"/>
      <c r="G879" s="152"/>
      <c r="H879" s="152"/>
      <c r="I879" s="152"/>
      <c r="J879" s="152"/>
      <c r="K879" s="152"/>
      <c r="L879" s="152"/>
      <c r="M879" s="152"/>
      <c r="N879" s="152"/>
      <c r="O879" s="7"/>
      <c r="P879" s="197"/>
      <c r="Q879" s="103"/>
      <c r="S879" s="7"/>
      <c r="T879" s="7"/>
      <c r="U879" s="7"/>
      <c r="V879" s="7"/>
    </row>
    <row r="880" spans="2:22" ht="12.5">
      <c r="B880" s="152"/>
      <c r="C880" s="152"/>
      <c r="D880" s="152"/>
      <c r="E880" s="152"/>
      <c r="F880" s="152"/>
      <c r="G880" s="152"/>
      <c r="H880" s="152"/>
      <c r="I880" s="152"/>
      <c r="J880" s="152"/>
      <c r="K880" s="152"/>
      <c r="L880" s="152"/>
      <c r="M880" s="152"/>
      <c r="N880" s="152"/>
      <c r="O880" s="7"/>
      <c r="P880" s="197"/>
      <c r="Q880" s="103"/>
      <c r="S880" s="7"/>
      <c r="T880" s="7"/>
      <c r="U880" s="7"/>
      <c r="V880" s="7"/>
    </row>
    <row r="881" spans="2:22" ht="12.5">
      <c r="B881" s="152"/>
      <c r="C881" s="152"/>
      <c r="D881" s="152"/>
      <c r="E881" s="152"/>
      <c r="F881" s="152"/>
      <c r="G881" s="152"/>
      <c r="H881" s="152"/>
      <c r="I881" s="152"/>
      <c r="J881" s="152"/>
      <c r="K881" s="152"/>
      <c r="L881" s="152"/>
      <c r="M881" s="152"/>
      <c r="N881" s="152"/>
      <c r="O881" s="7"/>
      <c r="P881" s="197"/>
      <c r="Q881" s="103"/>
      <c r="S881" s="7"/>
      <c r="T881" s="7"/>
      <c r="U881" s="7"/>
      <c r="V881" s="7"/>
    </row>
    <row r="882" spans="2:22" ht="12.5">
      <c r="B882" s="152"/>
      <c r="C882" s="152"/>
      <c r="D882" s="152"/>
      <c r="E882" s="152"/>
      <c r="F882" s="152"/>
      <c r="G882" s="152"/>
      <c r="H882" s="152"/>
      <c r="I882" s="152"/>
      <c r="J882" s="152"/>
      <c r="K882" s="152"/>
      <c r="L882" s="152"/>
      <c r="M882" s="152"/>
      <c r="N882" s="152"/>
      <c r="O882" s="7"/>
      <c r="P882" s="197"/>
      <c r="Q882" s="103"/>
      <c r="S882" s="7"/>
      <c r="T882" s="7"/>
      <c r="U882" s="7"/>
      <c r="V882" s="7"/>
    </row>
    <row r="883" spans="2:22" ht="12.5">
      <c r="B883" s="152"/>
      <c r="C883" s="152"/>
      <c r="D883" s="152"/>
      <c r="E883" s="152"/>
      <c r="F883" s="152"/>
      <c r="G883" s="152"/>
      <c r="H883" s="152"/>
      <c r="I883" s="152"/>
      <c r="J883" s="152"/>
      <c r="K883" s="152"/>
      <c r="L883" s="152"/>
      <c r="M883" s="152"/>
      <c r="N883" s="152"/>
      <c r="O883" s="7"/>
      <c r="P883" s="197"/>
      <c r="Q883" s="103"/>
      <c r="S883" s="7"/>
      <c r="T883" s="7"/>
      <c r="U883" s="7"/>
      <c r="V883" s="7"/>
    </row>
    <row r="884" spans="2:22" ht="12.5">
      <c r="B884" s="152"/>
      <c r="C884" s="152"/>
      <c r="D884" s="152"/>
      <c r="E884" s="152"/>
      <c r="F884" s="152"/>
      <c r="G884" s="152"/>
      <c r="H884" s="152"/>
      <c r="I884" s="152"/>
      <c r="J884" s="152"/>
      <c r="K884" s="152"/>
      <c r="L884" s="152"/>
      <c r="M884" s="152"/>
      <c r="N884" s="152"/>
      <c r="O884" s="7"/>
      <c r="P884" s="197"/>
      <c r="Q884" s="103"/>
      <c r="S884" s="7"/>
      <c r="T884" s="7"/>
      <c r="U884" s="7"/>
      <c r="V884" s="7"/>
    </row>
    <row r="885" spans="2:22" ht="12.5">
      <c r="B885" s="152"/>
      <c r="C885" s="152"/>
      <c r="D885" s="152"/>
      <c r="E885" s="152"/>
      <c r="F885" s="152"/>
      <c r="G885" s="152"/>
      <c r="H885" s="152"/>
      <c r="I885" s="152"/>
      <c r="J885" s="152"/>
      <c r="K885" s="152"/>
      <c r="L885" s="152"/>
      <c r="M885" s="152"/>
      <c r="N885" s="152"/>
      <c r="O885" s="7"/>
      <c r="P885" s="197"/>
      <c r="Q885" s="103"/>
      <c r="S885" s="7"/>
      <c r="T885" s="7"/>
      <c r="U885" s="7"/>
      <c r="V885" s="7"/>
    </row>
    <row r="886" spans="2:22" ht="12.5">
      <c r="B886" s="152"/>
      <c r="C886" s="152"/>
      <c r="D886" s="152"/>
      <c r="E886" s="152"/>
      <c r="F886" s="152"/>
      <c r="G886" s="152"/>
      <c r="H886" s="152"/>
      <c r="I886" s="152"/>
      <c r="J886" s="152"/>
      <c r="K886" s="152"/>
      <c r="L886" s="152"/>
      <c r="M886" s="152"/>
      <c r="N886" s="152"/>
      <c r="O886" s="7"/>
      <c r="P886" s="197"/>
      <c r="Q886" s="103"/>
      <c r="S886" s="7"/>
      <c r="T886" s="7"/>
      <c r="U886" s="7"/>
      <c r="V886" s="7"/>
    </row>
    <row r="887" spans="2:22" ht="12.5">
      <c r="B887" s="152"/>
      <c r="C887" s="152"/>
      <c r="D887" s="152"/>
      <c r="E887" s="152"/>
      <c r="F887" s="152"/>
      <c r="G887" s="152"/>
      <c r="H887" s="152"/>
      <c r="I887" s="152"/>
      <c r="J887" s="152"/>
      <c r="K887" s="152"/>
      <c r="L887" s="152"/>
      <c r="M887" s="152"/>
      <c r="N887" s="152"/>
      <c r="O887" s="7"/>
      <c r="P887" s="197"/>
      <c r="Q887" s="103"/>
      <c r="S887" s="7"/>
      <c r="T887" s="7"/>
      <c r="U887" s="7"/>
      <c r="V887" s="7"/>
    </row>
    <row r="888" spans="2:22" ht="12.5">
      <c r="B888" s="152"/>
      <c r="C888" s="152"/>
      <c r="D888" s="152"/>
      <c r="E888" s="152"/>
      <c r="F888" s="152"/>
      <c r="G888" s="152"/>
      <c r="H888" s="152"/>
      <c r="I888" s="152"/>
      <c r="J888" s="152"/>
      <c r="K888" s="152"/>
      <c r="L888" s="152"/>
      <c r="M888" s="152"/>
      <c r="N888" s="152"/>
      <c r="O888" s="7"/>
      <c r="P888" s="197"/>
      <c r="Q888" s="103"/>
      <c r="S888" s="7"/>
      <c r="T888" s="7"/>
      <c r="U888" s="7"/>
      <c r="V888" s="7"/>
    </row>
    <row r="889" spans="2:22" ht="12.5">
      <c r="B889" s="152"/>
      <c r="C889" s="152"/>
      <c r="D889" s="152"/>
      <c r="E889" s="152"/>
      <c r="F889" s="152"/>
      <c r="G889" s="152"/>
      <c r="H889" s="152"/>
      <c r="I889" s="152"/>
      <c r="J889" s="152"/>
      <c r="K889" s="152"/>
      <c r="L889" s="152"/>
      <c r="M889" s="152"/>
      <c r="N889" s="152"/>
      <c r="O889" s="7"/>
      <c r="P889" s="197"/>
      <c r="Q889" s="103"/>
      <c r="S889" s="7"/>
      <c r="T889" s="7"/>
      <c r="U889" s="7"/>
      <c r="V889" s="7"/>
    </row>
    <row r="890" spans="2:22" ht="12.5">
      <c r="B890" s="152"/>
      <c r="C890" s="152"/>
      <c r="D890" s="152"/>
      <c r="E890" s="152"/>
      <c r="F890" s="152"/>
      <c r="G890" s="152"/>
      <c r="H890" s="152"/>
      <c r="I890" s="152"/>
      <c r="J890" s="152"/>
      <c r="K890" s="152"/>
      <c r="L890" s="152"/>
      <c r="M890" s="152"/>
      <c r="N890" s="152"/>
      <c r="O890" s="7"/>
      <c r="P890" s="197"/>
      <c r="Q890" s="103"/>
      <c r="S890" s="7"/>
      <c r="T890" s="7"/>
      <c r="U890" s="7"/>
      <c r="V890" s="7"/>
    </row>
    <row r="891" spans="2:22" ht="12.5">
      <c r="B891" s="152"/>
      <c r="C891" s="152"/>
      <c r="D891" s="152"/>
      <c r="E891" s="152"/>
      <c r="F891" s="152"/>
      <c r="G891" s="152"/>
      <c r="H891" s="152"/>
      <c r="I891" s="152"/>
      <c r="J891" s="152"/>
      <c r="K891" s="152"/>
      <c r="L891" s="152"/>
      <c r="M891" s="152"/>
      <c r="N891" s="152"/>
      <c r="O891" s="7"/>
      <c r="P891" s="197"/>
      <c r="Q891" s="103"/>
      <c r="S891" s="7"/>
      <c r="T891" s="7"/>
      <c r="U891" s="7"/>
      <c r="V891" s="7"/>
    </row>
    <row r="892" spans="2:22" ht="12.5">
      <c r="B892" s="152"/>
      <c r="C892" s="152"/>
      <c r="D892" s="152"/>
      <c r="E892" s="152"/>
      <c r="F892" s="152"/>
      <c r="G892" s="152"/>
      <c r="H892" s="152"/>
      <c r="I892" s="152"/>
      <c r="J892" s="152"/>
      <c r="K892" s="152"/>
      <c r="L892" s="152"/>
      <c r="M892" s="152"/>
      <c r="N892" s="152"/>
      <c r="O892" s="7"/>
      <c r="P892" s="197"/>
      <c r="Q892" s="103"/>
      <c r="S892" s="7"/>
      <c r="T892" s="7"/>
      <c r="U892" s="7"/>
      <c r="V892" s="7"/>
    </row>
    <row r="893" spans="2:22" ht="12.5">
      <c r="B893" s="152"/>
      <c r="C893" s="152"/>
      <c r="D893" s="152"/>
      <c r="E893" s="152"/>
      <c r="F893" s="152"/>
      <c r="G893" s="152"/>
      <c r="H893" s="152"/>
      <c r="I893" s="152"/>
      <c r="J893" s="152"/>
      <c r="K893" s="152"/>
      <c r="L893" s="152"/>
      <c r="M893" s="152"/>
      <c r="N893" s="152"/>
      <c r="O893" s="7"/>
      <c r="P893" s="197"/>
      <c r="Q893" s="103"/>
      <c r="S893" s="7"/>
      <c r="T893" s="7"/>
      <c r="U893" s="7"/>
      <c r="V893" s="7"/>
    </row>
    <row r="894" spans="2:22" ht="12.5">
      <c r="B894" s="152"/>
      <c r="C894" s="152"/>
      <c r="D894" s="152"/>
      <c r="E894" s="152"/>
      <c r="F894" s="152"/>
      <c r="G894" s="152"/>
      <c r="H894" s="152"/>
      <c r="I894" s="152"/>
      <c r="J894" s="152"/>
      <c r="K894" s="152"/>
      <c r="L894" s="152"/>
      <c r="M894" s="152"/>
      <c r="N894" s="152"/>
      <c r="O894" s="7"/>
      <c r="P894" s="197"/>
      <c r="Q894" s="103"/>
      <c r="S894" s="7"/>
      <c r="T894" s="7"/>
      <c r="U894" s="7"/>
      <c r="V894" s="7"/>
    </row>
    <row r="895" spans="2:22" ht="12.5">
      <c r="B895" s="152"/>
      <c r="C895" s="152"/>
      <c r="D895" s="152"/>
      <c r="E895" s="152"/>
      <c r="F895" s="152"/>
      <c r="G895" s="152"/>
      <c r="H895" s="152"/>
      <c r="I895" s="152"/>
      <c r="J895" s="152"/>
      <c r="K895" s="152"/>
      <c r="L895" s="152"/>
      <c r="M895" s="152"/>
      <c r="N895" s="152"/>
      <c r="O895" s="7"/>
      <c r="P895" s="197"/>
      <c r="Q895" s="103"/>
      <c r="S895" s="7"/>
      <c r="T895" s="7"/>
      <c r="U895" s="7"/>
      <c r="V895" s="7"/>
    </row>
    <row r="896" spans="2:22" ht="12.5">
      <c r="B896" s="152"/>
      <c r="C896" s="152"/>
      <c r="D896" s="152"/>
      <c r="E896" s="152"/>
      <c r="F896" s="152"/>
      <c r="G896" s="152"/>
      <c r="H896" s="152"/>
      <c r="I896" s="152"/>
      <c r="J896" s="152"/>
      <c r="K896" s="152"/>
      <c r="L896" s="152"/>
      <c r="M896" s="152"/>
      <c r="N896" s="152"/>
      <c r="O896" s="7"/>
      <c r="P896" s="197"/>
      <c r="Q896" s="103"/>
      <c r="S896" s="7"/>
      <c r="T896" s="7"/>
      <c r="U896" s="7"/>
      <c r="V896" s="7"/>
    </row>
    <row r="897" spans="2:22" ht="12.5">
      <c r="B897" s="152"/>
      <c r="C897" s="152"/>
      <c r="D897" s="152"/>
      <c r="E897" s="152"/>
      <c r="F897" s="152"/>
      <c r="G897" s="152"/>
      <c r="H897" s="152"/>
      <c r="I897" s="152"/>
      <c r="J897" s="152"/>
      <c r="K897" s="152"/>
      <c r="L897" s="152"/>
      <c r="M897" s="152"/>
      <c r="N897" s="152"/>
      <c r="O897" s="7"/>
      <c r="P897" s="197"/>
      <c r="Q897" s="103"/>
      <c r="S897" s="7"/>
      <c r="T897" s="7"/>
      <c r="U897" s="7"/>
      <c r="V897" s="7"/>
    </row>
    <row r="898" spans="2:22" ht="12.5">
      <c r="B898" s="152"/>
      <c r="C898" s="152"/>
      <c r="D898" s="152"/>
      <c r="E898" s="152"/>
      <c r="F898" s="152"/>
      <c r="G898" s="152"/>
      <c r="H898" s="152"/>
      <c r="I898" s="152"/>
      <c r="J898" s="152"/>
      <c r="K898" s="152"/>
      <c r="L898" s="152"/>
      <c r="M898" s="152"/>
      <c r="N898" s="152"/>
      <c r="O898" s="7"/>
      <c r="P898" s="197"/>
      <c r="Q898" s="103"/>
      <c r="S898" s="7"/>
      <c r="T898" s="7"/>
      <c r="U898" s="7"/>
      <c r="V898" s="7"/>
    </row>
    <row r="899" spans="2:22" ht="12.5">
      <c r="B899" s="152"/>
      <c r="C899" s="152"/>
      <c r="D899" s="152"/>
      <c r="E899" s="152"/>
      <c r="F899" s="152"/>
      <c r="G899" s="152"/>
      <c r="H899" s="152"/>
      <c r="I899" s="152"/>
      <c r="J899" s="152"/>
      <c r="K899" s="152"/>
      <c r="L899" s="152"/>
      <c r="M899" s="152"/>
      <c r="N899" s="152"/>
      <c r="O899" s="7"/>
      <c r="P899" s="197"/>
      <c r="Q899" s="103"/>
      <c r="S899" s="7"/>
      <c r="T899" s="7"/>
      <c r="U899" s="7"/>
      <c r="V899" s="7"/>
    </row>
    <row r="900" spans="2:22" ht="12.5">
      <c r="B900" s="152"/>
      <c r="C900" s="152"/>
      <c r="D900" s="152"/>
      <c r="E900" s="152"/>
      <c r="F900" s="152"/>
      <c r="G900" s="152"/>
      <c r="H900" s="152"/>
      <c r="I900" s="152"/>
      <c r="J900" s="152"/>
      <c r="K900" s="152"/>
      <c r="L900" s="152"/>
      <c r="M900" s="152"/>
      <c r="N900" s="152"/>
      <c r="O900" s="7"/>
      <c r="P900" s="197"/>
      <c r="Q900" s="103"/>
      <c r="S900" s="7"/>
      <c r="T900" s="7"/>
      <c r="U900" s="7"/>
      <c r="V900" s="7"/>
    </row>
    <row r="901" spans="2:22" ht="12.5">
      <c r="B901" s="152"/>
      <c r="C901" s="152"/>
      <c r="D901" s="152"/>
      <c r="E901" s="152"/>
      <c r="F901" s="152"/>
      <c r="G901" s="152"/>
      <c r="H901" s="152"/>
      <c r="I901" s="152"/>
      <c r="J901" s="152"/>
      <c r="K901" s="152"/>
      <c r="L901" s="152"/>
      <c r="M901" s="152"/>
      <c r="N901" s="152"/>
      <c r="O901" s="7"/>
      <c r="P901" s="197"/>
      <c r="Q901" s="103"/>
      <c r="S901" s="7"/>
      <c r="T901" s="7"/>
      <c r="U901" s="7"/>
      <c r="V901" s="7"/>
    </row>
    <row r="902" spans="2:22" ht="12.5">
      <c r="B902" s="152"/>
      <c r="C902" s="152"/>
      <c r="D902" s="152"/>
      <c r="E902" s="152"/>
      <c r="F902" s="152"/>
      <c r="G902" s="152"/>
      <c r="H902" s="152"/>
      <c r="I902" s="152"/>
      <c r="J902" s="152"/>
      <c r="K902" s="152"/>
      <c r="L902" s="152"/>
      <c r="M902" s="152"/>
      <c r="N902" s="152"/>
      <c r="O902" s="7"/>
      <c r="P902" s="197"/>
      <c r="Q902" s="103"/>
      <c r="S902" s="7"/>
      <c r="T902" s="7"/>
      <c r="U902" s="7"/>
      <c r="V902" s="7"/>
    </row>
    <row r="903" spans="2:22" ht="12.5">
      <c r="B903" s="152"/>
      <c r="C903" s="152"/>
      <c r="D903" s="152"/>
      <c r="E903" s="152"/>
      <c r="F903" s="152"/>
      <c r="G903" s="152"/>
      <c r="H903" s="152"/>
      <c r="I903" s="152"/>
      <c r="J903" s="152"/>
      <c r="K903" s="152"/>
      <c r="L903" s="152"/>
      <c r="M903" s="152"/>
      <c r="N903" s="152"/>
      <c r="O903" s="7"/>
      <c r="P903" s="197"/>
      <c r="Q903" s="103"/>
      <c r="S903" s="7"/>
      <c r="T903" s="7"/>
      <c r="U903" s="7"/>
      <c r="V903" s="7"/>
    </row>
    <row r="904" spans="2:22" ht="12.5">
      <c r="B904" s="152"/>
      <c r="C904" s="152"/>
      <c r="D904" s="152"/>
      <c r="E904" s="152"/>
      <c r="F904" s="152"/>
      <c r="G904" s="152"/>
      <c r="H904" s="152"/>
      <c r="I904" s="152"/>
      <c r="J904" s="152"/>
      <c r="K904" s="152"/>
      <c r="L904" s="152"/>
      <c r="M904" s="152"/>
      <c r="N904" s="152"/>
      <c r="O904" s="7"/>
      <c r="P904" s="197"/>
      <c r="Q904" s="103"/>
      <c r="S904" s="7"/>
      <c r="T904" s="7"/>
      <c r="U904" s="7"/>
      <c r="V904" s="7"/>
    </row>
    <row r="905" spans="2:22" ht="12.5">
      <c r="B905" s="152"/>
      <c r="C905" s="152"/>
      <c r="D905" s="152"/>
      <c r="E905" s="152"/>
      <c r="F905" s="152"/>
      <c r="G905" s="152"/>
      <c r="H905" s="152"/>
      <c r="I905" s="152"/>
      <c r="J905" s="152"/>
      <c r="K905" s="152"/>
      <c r="L905" s="152"/>
      <c r="M905" s="152"/>
      <c r="N905" s="152"/>
      <c r="O905" s="7"/>
      <c r="P905" s="197"/>
      <c r="Q905" s="103"/>
      <c r="S905" s="7"/>
      <c r="T905" s="7"/>
      <c r="U905" s="7"/>
      <c r="V905" s="7"/>
    </row>
    <row r="906" spans="2:22" ht="12.5">
      <c r="B906" s="152"/>
      <c r="C906" s="152"/>
      <c r="D906" s="152"/>
      <c r="E906" s="152"/>
      <c r="F906" s="152"/>
      <c r="G906" s="152"/>
      <c r="H906" s="152"/>
      <c r="I906" s="152"/>
      <c r="J906" s="152"/>
      <c r="K906" s="152"/>
      <c r="L906" s="152"/>
      <c r="M906" s="152"/>
      <c r="N906" s="152"/>
      <c r="O906" s="7"/>
      <c r="P906" s="197"/>
      <c r="Q906" s="103"/>
      <c r="S906" s="7"/>
      <c r="T906" s="7"/>
      <c r="U906" s="7"/>
      <c r="V906" s="7"/>
    </row>
    <row r="907" spans="2:22" ht="12.5">
      <c r="B907" s="152"/>
      <c r="C907" s="152"/>
      <c r="D907" s="152"/>
      <c r="E907" s="152"/>
      <c r="F907" s="152"/>
      <c r="G907" s="152"/>
      <c r="H907" s="152"/>
      <c r="I907" s="152"/>
      <c r="J907" s="152"/>
      <c r="K907" s="152"/>
      <c r="L907" s="152"/>
      <c r="M907" s="152"/>
      <c r="N907" s="152"/>
      <c r="O907" s="7"/>
      <c r="P907" s="197"/>
      <c r="Q907" s="103"/>
      <c r="S907" s="7"/>
      <c r="T907" s="7"/>
      <c r="U907" s="7"/>
      <c r="V907" s="7"/>
    </row>
    <row r="908" spans="2:22" ht="12.5">
      <c r="B908" s="152"/>
      <c r="C908" s="152"/>
      <c r="D908" s="152"/>
      <c r="E908" s="152"/>
      <c r="F908" s="152"/>
      <c r="G908" s="152"/>
      <c r="H908" s="152"/>
      <c r="I908" s="152"/>
      <c r="J908" s="152"/>
      <c r="K908" s="152"/>
      <c r="L908" s="152"/>
      <c r="M908" s="152"/>
      <c r="N908" s="152"/>
      <c r="O908" s="7"/>
      <c r="P908" s="197"/>
      <c r="Q908" s="103"/>
      <c r="S908" s="7"/>
      <c r="T908" s="7"/>
      <c r="U908" s="7"/>
      <c r="V908" s="7"/>
    </row>
    <row r="909" spans="2:22" ht="12.5">
      <c r="B909" s="152"/>
      <c r="C909" s="152"/>
      <c r="D909" s="152"/>
      <c r="E909" s="152"/>
      <c r="F909" s="152"/>
      <c r="G909" s="152"/>
      <c r="H909" s="152"/>
      <c r="I909" s="152"/>
      <c r="J909" s="152"/>
      <c r="K909" s="152"/>
      <c r="L909" s="152"/>
      <c r="M909" s="152"/>
      <c r="N909" s="152"/>
      <c r="O909" s="7"/>
      <c r="P909" s="197"/>
      <c r="Q909" s="103"/>
      <c r="S909" s="7"/>
      <c r="T909" s="7"/>
      <c r="U909" s="7"/>
      <c r="V909" s="7"/>
    </row>
    <row r="910" spans="2:22" ht="12.5">
      <c r="B910" s="152"/>
      <c r="C910" s="152"/>
      <c r="D910" s="152"/>
      <c r="E910" s="152"/>
      <c r="F910" s="152"/>
      <c r="G910" s="152"/>
      <c r="H910" s="152"/>
      <c r="I910" s="152"/>
      <c r="J910" s="152"/>
      <c r="K910" s="152"/>
      <c r="L910" s="152"/>
      <c r="M910" s="152"/>
      <c r="N910" s="152"/>
      <c r="O910" s="7"/>
      <c r="P910" s="197"/>
      <c r="Q910" s="103"/>
      <c r="S910" s="7"/>
      <c r="T910" s="7"/>
      <c r="U910" s="7"/>
      <c r="V910" s="7"/>
    </row>
    <row r="911" spans="2:22" ht="12.5">
      <c r="B911" s="152"/>
      <c r="C911" s="152"/>
      <c r="D911" s="152"/>
      <c r="E911" s="152"/>
      <c r="F911" s="152"/>
      <c r="G911" s="152"/>
      <c r="H911" s="152"/>
      <c r="I911" s="152"/>
      <c r="J911" s="152"/>
      <c r="K911" s="152"/>
      <c r="L911" s="152"/>
      <c r="M911" s="152"/>
      <c r="N911" s="152"/>
      <c r="O911" s="7"/>
      <c r="P911" s="197"/>
      <c r="Q911" s="103"/>
      <c r="S911" s="7"/>
      <c r="T911" s="7"/>
      <c r="U911" s="7"/>
      <c r="V911" s="7"/>
    </row>
    <row r="912" spans="2:22" ht="12.5">
      <c r="B912" s="152"/>
      <c r="C912" s="152"/>
      <c r="D912" s="152"/>
      <c r="E912" s="152"/>
      <c r="F912" s="152"/>
      <c r="G912" s="152"/>
      <c r="H912" s="152"/>
      <c r="I912" s="152"/>
      <c r="J912" s="152"/>
      <c r="K912" s="152"/>
      <c r="L912" s="152"/>
      <c r="M912" s="152"/>
      <c r="N912" s="152"/>
      <c r="O912" s="7"/>
      <c r="P912" s="197"/>
      <c r="Q912" s="103"/>
      <c r="S912" s="7"/>
      <c r="T912" s="7"/>
      <c r="U912" s="7"/>
      <c r="V912" s="7"/>
    </row>
    <row r="913" spans="2:22" ht="12.5">
      <c r="B913" s="152"/>
      <c r="C913" s="152"/>
      <c r="D913" s="152"/>
      <c r="E913" s="152"/>
      <c r="F913" s="152"/>
      <c r="G913" s="152"/>
      <c r="H913" s="152"/>
      <c r="I913" s="152"/>
      <c r="J913" s="152"/>
      <c r="K913" s="152"/>
      <c r="L913" s="152"/>
      <c r="M913" s="152"/>
      <c r="N913" s="152"/>
      <c r="O913" s="7"/>
      <c r="P913" s="197"/>
      <c r="Q913" s="103"/>
      <c r="S913" s="7"/>
      <c r="T913" s="7"/>
      <c r="U913" s="7"/>
      <c r="V913" s="7"/>
    </row>
    <row r="914" spans="2:22" ht="12.5">
      <c r="B914" s="152"/>
      <c r="C914" s="152"/>
      <c r="D914" s="152"/>
      <c r="E914" s="152"/>
      <c r="F914" s="152"/>
      <c r="G914" s="152"/>
      <c r="H914" s="152"/>
      <c r="I914" s="152"/>
      <c r="J914" s="152"/>
      <c r="K914" s="152"/>
      <c r="L914" s="152"/>
      <c r="M914" s="152"/>
      <c r="N914" s="152"/>
      <c r="O914" s="7"/>
      <c r="P914" s="197"/>
      <c r="Q914" s="103"/>
      <c r="S914" s="7"/>
      <c r="T914" s="7"/>
      <c r="U914" s="7"/>
      <c r="V914" s="7"/>
    </row>
    <row r="915" spans="2:22" ht="12.5">
      <c r="B915" s="152"/>
      <c r="C915" s="152"/>
      <c r="D915" s="152"/>
      <c r="E915" s="152"/>
      <c r="F915" s="152"/>
      <c r="G915" s="152"/>
      <c r="H915" s="152"/>
      <c r="I915" s="152"/>
      <c r="J915" s="152"/>
      <c r="K915" s="152"/>
      <c r="L915" s="152"/>
      <c r="M915" s="152"/>
      <c r="N915" s="152"/>
      <c r="O915" s="7"/>
      <c r="P915" s="197"/>
      <c r="Q915" s="103"/>
      <c r="S915" s="7"/>
      <c r="T915" s="7"/>
      <c r="U915" s="7"/>
      <c r="V915" s="7"/>
    </row>
    <row r="916" spans="2:22" ht="12.5">
      <c r="B916" s="152"/>
      <c r="C916" s="152"/>
      <c r="D916" s="152"/>
      <c r="E916" s="152"/>
      <c r="F916" s="152"/>
      <c r="G916" s="152"/>
      <c r="H916" s="152"/>
      <c r="I916" s="152"/>
      <c r="J916" s="152"/>
      <c r="K916" s="152"/>
      <c r="L916" s="152"/>
      <c r="M916" s="152"/>
      <c r="N916" s="152"/>
      <c r="O916" s="7"/>
      <c r="P916" s="197"/>
      <c r="Q916" s="103"/>
      <c r="S916" s="7"/>
      <c r="T916" s="7"/>
      <c r="U916" s="7"/>
      <c r="V916" s="7"/>
    </row>
    <row r="917" spans="2:22" ht="12.5">
      <c r="B917" s="152"/>
      <c r="C917" s="152"/>
      <c r="D917" s="152"/>
      <c r="E917" s="152"/>
      <c r="F917" s="152"/>
      <c r="G917" s="152"/>
      <c r="H917" s="152"/>
      <c r="I917" s="152"/>
      <c r="J917" s="152"/>
      <c r="K917" s="152"/>
      <c r="L917" s="152"/>
      <c r="M917" s="152"/>
      <c r="N917" s="152"/>
      <c r="O917" s="7"/>
      <c r="P917" s="197"/>
      <c r="Q917" s="103"/>
      <c r="S917" s="7"/>
      <c r="T917" s="7"/>
      <c r="U917" s="7"/>
      <c r="V917" s="7"/>
    </row>
    <row r="918" spans="2:22" ht="12.5">
      <c r="B918" s="152"/>
      <c r="C918" s="152"/>
      <c r="D918" s="152"/>
      <c r="E918" s="152"/>
      <c r="F918" s="152"/>
      <c r="G918" s="152"/>
      <c r="H918" s="152"/>
      <c r="I918" s="152"/>
      <c r="J918" s="152"/>
      <c r="K918" s="152"/>
      <c r="L918" s="152"/>
      <c r="M918" s="152"/>
      <c r="N918" s="152"/>
      <c r="O918" s="7"/>
      <c r="P918" s="197"/>
      <c r="Q918" s="103"/>
      <c r="S918" s="7"/>
      <c r="T918" s="7"/>
      <c r="U918" s="7"/>
      <c r="V918" s="7"/>
    </row>
    <row r="919" spans="2:22" ht="12.5">
      <c r="B919" s="152"/>
      <c r="C919" s="152"/>
      <c r="D919" s="152"/>
      <c r="E919" s="152"/>
      <c r="F919" s="152"/>
      <c r="G919" s="152"/>
      <c r="H919" s="152"/>
      <c r="I919" s="152"/>
      <c r="J919" s="152"/>
      <c r="K919" s="152"/>
      <c r="L919" s="152"/>
      <c r="M919" s="152"/>
      <c r="N919" s="152"/>
      <c r="O919" s="7"/>
      <c r="P919" s="197"/>
      <c r="Q919" s="103"/>
      <c r="S919" s="7"/>
      <c r="T919" s="7"/>
      <c r="U919" s="7"/>
      <c r="V919" s="7"/>
    </row>
    <row r="920" spans="2:22" ht="12.5">
      <c r="B920" s="152"/>
      <c r="C920" s="152"/>
      <c r="D920" s="152"/>
      <c r="E920" s="152"/>
      <c r="F920" s="152"/>
      <c r="G920" s="152"/>
      <c r="H920" s="152"/>
      <c r="I920" s="152"/>
      <c r="J920" s="152"/>
      <c r="K920" s="152"/>
      <c r="L920" s="152"/>
      <c r="M920" s="152"/>
      <c r="N920" s="152"/>
      <c r="O920" s="7"/>
      <c r="P920" s="197"/>
      <c r="Q920" s="103"/>
      <c r="S920" s="7"/>
      <c r="T920" s="7"/>
      <c r="U920" s="7"/>
      <c r="V920" s="7"/>
    </row>
    <row r="921" spans="2:22" ht="12.5">
      <c r="B921" s="152"/>
      <c r="C921" s="152"/>
      <c r="D921" s="152"/>
      <c r="E921" s="152"/>
      <c r="F921" s="152"/>
      <c r="G921" s="152"/>
      <c r="H921" s="152"/>
      <c r="I921" s="152"/>
      <c r="J921" s="152"/>
      <c r="K921" s="152"/>
      <c r="L921" s="152"/>
      <c r="M921" s="152"/>
      <c r="N921" s="152"/>
      <c r="O921" s="7"/>
      <c r="P921" s="197"/>
      <c r="Q921" s="103"/>
      <c r="S921" s="7"/>
      <c r="T921" s="7"/>
      <c r="U921" s="7"/>
      <c r="V921" s="7"/>
    </row>
    <row r="922" spans="2:22" ht="12.5">
      <c r="B922" s="152"/>
      <c r="C922" s="152"/>
      <c r="D922" s="152"/>
      <c r="E922" s="152"/>
      <c r="F922" s="152"/>
      <c r="G922" s="152"/>
      <c r="H922" s="152"/>
      <c r="I922" s="152"/>
      <c r="J922" s="152"/>
      <c r="K922" s="152"/>
      <c r="L922" s="152"/>
      <c r="M922" s="152"/>
      <c r="N922" s="152"/>
      <c r="O922" s="7"/>
      <c r="P922" s="197"/>
      <c r="Q922" s="103"/>
      <c r="S922" s="7"/>
      <c r="T922" s="7"/>
      <c r="U922" s="7"/>
      <c r="V922" s="7"/>
    </row>
    <row r="923" spans="2:22" ht="12.5">
      <c r="B923" s="152"/>
      <c r="C923" s="152"/>
      <c r="D923" s="152"/>
      <c r="E923" s="152"/>
      <c r="F923" s="152"/>
      <c r="G923" s="152"/>
      <c r="H923" s="152"/>
      <c r="I923" s="152"/>
      <c r="J923" s="152"/>
      <c r="K923" s="152"/>
      <c r="L923" s="152"/>
      <c r="M923" s="152"/>
      <c r="N923" s="152"/>
      <c r="O923" s="7"/>
      <c r="P923" s="197"/>
      <c r="Q923" s="103"/>
      <c r="S923" s="7"/>
      <c r="T923" s="7"/>
      <c r="U923" s="7"/>
      <c r="V923" s="7"/>
    </row>
    <row r="924" spans="2:22" ht="12.5">
      <c r="B924" s="152"/>
      <c r="C924" s="152"/>
      <c r="D924" s="152"/>
      <c r="E924" s="152"/>
      <c r="F924" s="152"/>
      <c r="G924" s="152"/>
      <c r="H924" s="152"/>
      <c r="I924" s="152"/>
      <c r="J924" s="152"/>
      <c r="K924" s="152"/>
      <c r="L924" s="152"/>
      <c r="M924" s="152"/>
      <c r="N924" s="152"/>
      <c r="O924" s="7"/>
      <c r="P924" s="197"/>
      <c r="Q924" s="103"/>
      <c r="S924" s="7"/>
      <c r="T924" s="7"/>
      <c r="U924" s="7"/>
      <c r="V924" s="7"/>
    </row>
    <row r="925" spans="2:22" ht="12.5">
      <c r="B925" s="152"/>
      <c r="C925" s="152"/>
      <c r="D925" s="152"/>
      <c r="E925" s="152"/>
      <c r="F925" s="152"/>
      <c r="G925" s="152"/>
      <c r="H925" s="152"/>
      <c r="I925" s="152"/>
      <c r="J925" s="152"/>
      <c r="K925" s="152"/>
      <c r="L925" s="152"/>
      <c r="M925" s="152"/>
      <c r="N925" s="152"/>
      <c r="O925" s="7"/>
      <c r="P925" s="197"/>
      <c r="Q925" s="103"/>
      <c r="S925" s="7"/>
      <c r="T925" s="7"/>
      <c r="U925" s="7"/>
      <c r="V925" s="7"/>
    </row>
    <row r="926" spans="2:22" ht="12.5">
      <c r="B926" s="152"/>
      <c r="C926" s="152"/>
      <c r="D926" s="152"/>
      <c r="E926" s="152"/>
      <c r="F926" s="152"/>
      <c r="G926" s="152"/>
      <c r="H926" s="152"/>
      <c r="I926" s="152"/>
      <c r="J926" s="152"/>
      <c r="K926" s="152"/>
      <c r="L926" s="152"/>
      <c r="M926" s="152"/>
      <c r="N926" s="152"/>
      <c r="O926" s="7"/>
      <c r="P926" s="197"/>
      <c r="Q926" s="103"/>
      <c r="S926" s="7"/>
      <c r="T926" s="7"/>
      <c r="U926" s="7"/>
      <c r="V926" s="7"/>
    </row>
    <row r="927" spans="2:22" ht="12.5">
      <c r="B927" s="152"/>
      <c r="C927" s="152"/>
      <c r="D927" s="152"/>
      <c r="E927" s="152"/>
      <c r="F927" s="152"/>
      <c r="G927" s="152"/>
      <c r="H927" s="152"/>
      <c r="I927" s="152"/>
      <c r="J927" s="152"/>
      <c r="K927" s="152"/>
      <c r="L927" s="152"/>
      <c r="M927" s="152"/>
      <c r="N927" s="152"/>
      <c r="O927" s="7"/>
      <c r="P927" s="197"/>
      <c r="Q927" s="103"/>
      <c r="S927" s="7"/>
      <c r="T927" s="7"/>
      <c r="U927" s="7"/>
      <c r="V927" s="7"/>
    </row>
    <row r="928" spans="2:22" ht="12.5">
      <c r="B928" s="152"/>
      <c r="C928" s="152"/>
      <c r="D928" s="152"/>
      <c r="E928" s="152"/>
      <c r="F928" s="152"/>
      <c r="G928" s="152"/>
      <c r="H928" s="152"/>
      <c r="I928" s="152"/>
      <c r="J928" s="152"/>
      <c r="K928" s="152"/>
      <c r="L928" s="152"/>
      <c r="M928" s="152"/>
      <c r="N928" s="152"/>
      <c r="O928" s="7"/>
      <c r="P928" s="197"/>
      <c r="Q928" s="103"/>
      <c r="S928" s="7"/>
      <c r="T928" s="7"/>
      <c r="U928" s="7"/>
      <c r="V928" s="7"/>
    </row>
    <row r="929" spans="2:22" ht="12.5">
      <c r="B929" s="152"/>
      <c r="C929" s="152"/>
      <c r="D929" s="152"/>
      <c r="E929" s="152"/>
      <c r="F929" s="152"/>
      <c r="G929" s="152"/>
      <c r="H929" s="152"/>
      <c r="I929" s="152"/>
      <c r="J929" s="152"/>
      <c r="K929" s="152"/>
      <c r="L929" s="152"/>
      <c r="M929" s="152"/>
      <c r="N929" s="152"/>
      <c r="O929" s="7"/>
      <c r="P929" s="197"/>
      <c r="Q929" s="103"/>
      <c r="S929" s="7"/>
      <c r="T929" s="7"/>
      <c r="U929" s="7"/>
      <c r="V929" s="7"/>
    </row>
    <row r="930" spans="2:22" ht="12.5">
      <c r="B930" s="152"/>
      <c r="C930" s="152"/>
      <c r="D930" s="152"/>
      <c r="E930" s="152"/>
      <c r="F930" s="152"/>
      <c r="G930" s="152"/>
      <c r="H930" s="152"/>
      <c r="I930" s="152"/>
      <c r="J930" s="152"/>
      <c r="K930" s="152"/>
      <c r="L930" s="152"/>
      <c r="M930" s="152"/>
      <c r="N930" s="152"/>
      <c r="O930" s="7"/>
      <c r="P930" s="197"/>
      <c r="Q930" s="103"/>
      <c r="S930" s="7"/>
      <c r="T930" s="7"/>
      <c r="U930" s="7"/>
      <c r="V930" s="7"/>
    </row>
    <row r="931" spans="2:22" ht="12.5">
      <c r="B931" s="152"/>
      <c r="C931" s="152"/>
      <c r="D931" s="152"/>
      <c r="E931" s="152"/>
      <c r="F931" s="152"/>
      <c r="G931" s="152"/>
      <c r="H931" s="152"/>
      <c r="I931" s="152"/>
      <c r="J931" s="152"/>
      <c r="K931" s="152"/>
      <c r="L931" s="152"/>
      <c r="M931" s="152"/>
      <c r="N931" s="152"/>
      <c r="O931" s="7"/>
      <c r="P931" s="197"/>
      <c r="Q931" s="103"/>
      <c r="S931" s="7"/>
      <c r="T931" s="7"/>
      <c r="U931" s="7"/>
      <c r="V931" s="7"/>
    </row>
    <row r="932" spans="2:22" ht="12.5">
      <c r="B932" s="152"/>
      <c r="C932" s="152"/>
      <c r="D932" s="152"/>
      <c r="E932" s="152"/>
      <c r="F932" s="152"/>
      <c r="G932" s="152"/>
      <c r="H932" s="152"/>
      <c r="I932" s="152"/>
      <c r="J932" s="152"/>
      <c r="K932" s="152"/>
      <c r="L932" s="152"/>
      <c r="M932" s="152"/>
      <c r="N932" s="152"/>
      <c r="O932" s="7"/>
      <c r="P932" s="197"/>
      <c r="Q932" s="103"/>
      <c r="S932" s="7"/>
      <c r="T932" s="7"/>
      <c r="U932" s="7"/>
      <c r="V932" s="7"/>
    </row>
    <row r="933" spans="2:22" ht="12.5">
      <c r="B933" s="152"/>
      <c r="C933" s="152"/>
      <c r="D933" s="152"/>
      <c r="E933" s="152"/>
      <c r="F933" s="152"/>
      <c r="G933" s="152"/>
      <c r="H933" s="152"/>
      <c r="I933" s="152"/>
      <c r="J933" s="152"/>
      <c r="K933" s="152"/>
      <c r="L933" s="152"/>
      <c r="M933" s="152"/>
      <c r="N933" s="152"/>
      <c r="O933" s="7"/>
      <c r="P933" s="197"/>
      <c r="Q933" s="103"/>
      <c r="S933" s="7"/>
      <c r="T933" s="7"/>
      <c r="U933" s="7"/>
      <c r="V933" s="7"/>
    </row>
    <row r="934" spans="2:22" ht="12.5">
      <c r="B934" s="152"/>
      <c r="C934" s="152"/>
      <c r="D934" s="152"/>
      <c r="E934" s="152"/>
      <c r="F934" s="152"/>
      <c r="G934" s="152"/>
      <c r="H934" s="152"/>
      <c r="I934" s="152"/>
      <c r="J934" s="152"/>
      <c r="K934" s="152"/>
      <c r="L934" s="152"/>
      <c r="M934" s="152"/>
      <c r="N934" s="152"/>
      <c r="O934" s="7"/>
      <c r="P934" s="197"/>
      <c r="Q934" s="103"/>
      <c r="S934" s="7"/>
      <c r="T934" s="7"/>
      <c r="U934" s="7"/>
      <c r="V934" s="7"/>
    </row>
    <row r="935" spans="2:22" ht="12.5">
      <c r="B935" s="152"/>
      <c r="C935" s="152"/>
      <c r="D935" s="152"/>
      <c r="E935" s="152"/>
      <c r="F935" s="152"/>
      <c r="G935" s="152"/>
      <c r="H935" s="152"/>
      <c r="I935" s="152"/>
      <c r="J935" s="152"/>
      <c r="K935" s="152"/>
      <c r="L935" s="152"/>
      <c r="M935" s="152"/>
      <c r="N935" s="152"/>
      <c r="O935" s="7"/>
      <c r="P935" s="197"/>
      <c r="Q935" s="103"/>
      <c r="S935" s="7"/>
      <c r="T935" s="7"/>
      <c r="U935" s="7"/>
      <c r="V935" s="7"/>
    </row>
    <row r="936" spans="2:22" ht="12.5">
      <c r="B936" s="152"/>
      <c r="C936" s="152"/>
      <c r="D936" s="152"/>
      <c r="E936" s="152"/>
      <c r="F936" s="152"/>
      <c r="G936" s="152"/>
      <c r="H936" s="152"/>
      <c r="I936" s="152"/>
      <c r="J936" s="152"/>
      <c r="K936" s="152"/>
      <c r="L936" s="152"/>
      <c r="M936" s="152"/>
      <c r="N936" s="152"/>
      <c r="O936" s="7"/>
      <c r="P936" s="197"/>
      <c r="Q936" s="103"/>
      <c r="S936" s="7"/>
      <c r="T936" s="7"/>
      <c r="U936" s="7"/>
      <c r="V936" s="7"/>
    </row>
    <row r="937" spans="2:22" ht="12.5">
      <c r="B937" s="152"/>
      <c r="C937" s="152"/>
      <c r="D937" s="152"/>
      <c r="E937" s="152"/>
      <c r="F937" s="152"/>
      <c r="G937" s="152"/>
      <c r="H937" s="152"/>
      <c r="I937" s="152"/>
      <c r="J937" s="152"/>
      <c r="K937" s="152"/>
      <c r="L937" s="152"/>
      <c r="M937" s="152"/>
      <c r="N937" s="152"/>
      <c r="O937" s="7"/>
      <c r="P937" s="197"/>
      <c r="Q937" s="103"/>
      <c r="S937" s="7"/>
      <c r="T937" s="7"/>
      <c r="U937" s="7"/>
      <c r="V937" s="7"/>
    </row>
    <row r="938" spans="2:22" ht="12.5">
      <c r="B938" s="152"/>
      <c r="C938" s="152"/>
      <c r="D938" s="152"/>
      <c r="E938" s="152"/>
      <c r="F938" s="152"/>
      <c r="G938" s="152"/>
      <c r="H938" s="152"/>
      <c r="I938" s="152"/>
      <c r="J938" s="152"/>
      <c r="K938" s="152"/>
      <c r="L938" s="152"/>
      <c r="M938" s="152"/>
      <c r="N938" s="152"/>
      <c r="O938" s="7"/>
      <c r="P938" s="197"/>
      <c r="Q938" s="103"/>
      <c r="S938" s="7"/>
      <c r="T938" s="7"/>
      <c r="U938" s="7"/>
      <c r="V938" s="7"/>
    </row>
    <row r="939" spans="2:22" ht="12.5">
      <c r="B939" s="152"/>
      <c r="C939" s="152"/>
      <c r="D939" s="152"/>
      <c r="E939" s="152"/>
      <c r="F939" s="152"/>
      <c r="G939" s="152"/>
      <c r="H939" s="152"/>
      <c r="I939" s="152"/>
      <c r="J939" s="152"/>
      <c r="K939" s="152"/>
      <c r="L939" s="152"/>
      <c r="M939" s="152"/>
      <c r="N939" s="152"/>
      <c r="O939" s="7"/>
      <c r="P939" s="197"/>
      <c r="Q939" s="103"/>
      <c r="S939" s="7"/>
      <c r="T939" s="7"/>
      <c r="U939" s="7"/>
      <c r="V939" s="7"/>
    </row>
    <row r="940" spans="2:22" ht="12.5">
      <c r="B940" s="152"/>
      <c r="C940" s="152"/>
      <c r="D940" s="152"/>
      <c r="E940" s="152"/>
      <c r="F940" s="152"/>
      <c r="G940" s="152"/>
      <c r="H940" s="152"/>
      <c r="I940" s="152"/>
      <c r="J940" s="152"/>
      <c r="K940" s="152"/>
      <c r="L940" s="152"/>
      <c r="M940" s="152"/>
      <c r="N940" s="152"/>
      <c r="O940" s="7"/>
      <c r="P940" s="197"/>
      <c r="Q940" s="103"/>
      <c r="S940" s="7"/>
      <c r="T940" s="7"/>
      <c r="U940" s="7"/>
      <c r="V940" s="7"/>
    </row>
    <row r="941" spans="2:22" ht="12.5">
      <c r="B941" s="152"/>
      <c r="C941" s="152"/>
      <c r="D941" s="152"/>
      <c r="E941" s="152"/>
      <c r="F941" s="152"/>
      <c r="G941" s="152"/>
      <c r="H941" s="152"/>
      <c r="I941" s="152"/>
      <c r="J941" s="152"/>
      <c r="K941" s="152"/>
      <c r="L941" s="152"/>
      <c r="M941" s="152"/>
      <c r="N941" s="152"/>
      <c r="O941" s="7"/>
      <c r="P941" s="197"/>
      <c r="Q941" s="103"/>
      <c r="S941" s="7"/>
      <c r="T941" s="7"/>
      <c r="U941" s="7"/>
      <c r="V941" s="7"/>
    </row>
    <row r="942" spans="2:22" ht="12.5">
      <c r="B942" s="152"/>
      <c r="C942" s="152"/>
      <c r="D942" s="152"/>
      <c r="E942" s="152"/>
      <c r="F942" s="152"/>
      <c r="G942" s="152"/>
      <c r="H942" s="152"/>
      <c r="I942" s="152"/>
      <c r="J942" s="152"/>
      <c r="K942" s="152"/>
      <c r="L942" s="152"/>
      <c r="M942" s="152"/>
      <c r="N942" s="152"/>
      <c r="O942" s="7"/>
      <c r="P942" s="197"/>
      <c r="Q942" s="103"/>
      <c r="S942" s="7"/>
      <c r="T942" s="7"/>
      <c r="U942" s="7"/>
      <c r="V942" s="7"/>
    </row>
    <row r="943" spans="2:22" ht="12.5">
      <c r="B943" s="152"/>
      <c r="C943" s="152"/>
      <c r="D943" s="152"/>
      <c r="E943" s="152"/>
      <c r="F943" s="152"/>
      <c r="G943" s="152"/>
      <c r="H943" s="152"/>
      <c r="I943" s="152"/>
      <c r="J943" s="152"/>
      <c r="K943" s="152"/>
      <c r="L943" s="152"/>
      <c r="M943" s="152"/>
      <c r="N943" s="152"/>
      <c r="O943" s="7"/>
      <c r="P943" s="197"/>
      <c r="Q943" s="103"/>
      <c r="S943" s="7"/>
      <c r="T943" s="7"/>
      <c r="U943" s="7"/>
      <c r="V943" s="7"/>
    </row>
    <row r="944" spans="2:22" ht="12.5">
      <c r="B944" s="152"/>
      <c r="C944" s="152"/>
      <c r="D944" s="152"/>
      <c r="E944" s="152"/>
      <c r="F944" s="152"/>
      <c r="G944" s="152"/>
      <c r="H944" s="152"/>
      <c r="I944" s="152"/>
      <c r="J944" s="152"/>
      <c r="K944" s="152"/>
      <c r="L944" s="152"/>
      <c r="M944" s="152"/>
      <c r="N944" s="152"/>
      <c r="O944" s="7"/>
      <c r="P944" s="197"/>
      <c r="Q944" s="103"/>
      <c r="S944" s="7"/>
      <c r="T944" s="7"/>
      <c r="U944" s="7"/>
      <c r="V944" s="7"/>
    </row>
    <row r="945" spans="2:22" ht="12.5">
      <c r="B945" s="152"/>
      <c r="C945" s="152"/>
      <c r="D945" s="152"/>
      <c r="E945" s="152"/>
      <c r="F945" s="152"/>
      <c r="G945" s="152"/>
      <c r="H945" s="152"/>
      <c r="I945" s="152"/>
      <c r="J945" s="152"/>
      <c r="K945" s="152"/>
      <c r="L945" s="152"/>
      <c r="M945" s="152"/>
      <c r="N945" s="152"/>
      <c r="O945" s="7"/>
      <c r="P945" s="197"/>
      <c r="Q945" s="103"/>
      <c r="S945" s="7"/>
      <c r="T945" s="7"/>
      <c r="U945" s="7"/>
      <c r="V945" s="7"/>
    </row>
    <row r="946" spans="2:22" ht="12.5">
      <c r="B946" s="152"/>
      <c r="C946" s="152"/>
      <c r="D946" s="152"/>
      <c r="E946" s="152"/>
      <c r="F946" s="152"/>
      <c r="G946" s="152"/>
      <c r="H946" s="152"/>
      <c r="I946" s="152"/>
      <c r="J946" s="152"/>
      <c r="K946" s="152"/>
      <c r="L946" s="152"/>
      <c r="M946" s="152"/>
      <c r="N946" s="152"/>
      <c r="O946" s="7"/>
      <c r="P946" s="197"/>
      <c r="Q946" s="103"/>
      <c r="S946" s="7"/>
      <c r="T946" s="7"/>
      <c r="U946" s="7"/>
      <c r="V946" s="7"/>
    </row>
    <row r="947" spans="2:22" ht="12.5">
      <c r="B947" s="152"/>
      <c r="C947" s="152"/>
      <c r="D947" s="152"/>
      <c r="E947" s="152"/>
      <c r="F947" s="152"/>
      <c r="G947" s="152"/>
      <c r="H947" s="152"/>
      <c r="I947" s="152"/>
      <c r="J947" s="152"/>
      <c r="K947" s="152"/>
      <c r="L947" s="152"/>
      <c r="M947" s="152"/>
      <c r="N947" s="152"/>
      <c r="O947" s="7"/>
      <c r="P947" s="197"/>
      <c r="Q947" s="103"/>
      <c r="S947" s="7"/>
      <c r="T947" s="7"/>
      <c r="U947" s="7"/>
      <c r="V947" s="7"/>
    </row>
    <row r="948" spans="2:22" ht="12.5">
      <c r="B948" s="152"/>
      <c r="C948" s="152"/>
      <c r="D948" s="152"/>
      <c r="E948" s="152"/>
      <c r="F948" s="152"/>
      <c r="G948" s="152"/>
      <c r="H948" s="152"/>
      <c r="I948" s="152"/>
      <c r="J948" s="152"/>
      <c r="K948" s="152"/>
      <c r="L948" s="152"/>
      <c r="M948" s="152"/>
      <c r="N948" s="152"/>
      <c r="O948" s="7"/>
      <c r="P948" s="197"/>
      <c r="Q948" s="103"/>
      <c r="S948" s="7"/>
      <c r="T948" s="7"/>
      <c r="U948" s="7"/>
      <c r="V948" s="7"/>
    </row>
    <row r="949" spans="2:22" ht="12.5">
      <c r="B949" s="152"/>
      <c r="C949" s="152"/>
      <c r="D949" s="152"/>
      <c r="E949" s="152"/>
      <c r="F949" s="152"/>
      <c r="G949" s="152"/>
      <c r="H949" s="152"/>
      <c r="I949" s="152"/>
      <c r="J949" s="152"/>
      <c r="K949" s="152"/>
      <c r="L949" s="152"/>
      <c r="M949" s="152"/>
      <c r="N949" s="152"/>
      <c r="O949" s="7"/>
      <c r="P949" s="197"/>
      <c r="Q949" s="103"/>
      <c r="S949" s="7"/>
      <c r="T949" s="7"/>
      <c r="U949" s="7"/>
      <c r="V949" s="7"/>
    </row>
    <row r="950" spans="2:22" ht="12.5">
      <c r="B950" s="152"/>
      <c r="C950" s="152"/>
      <c r="D950" s="152"/>
      <c r="E950" s="152"/>
      <c r="F950" s="152"/>
      <c r="G950" s="152"/>
      <c r="H950" s="152"/>
      <c r="I950" s="152"/>
      <c r="J950" s="152"/>
      <c r="K950" s="152"/>
      <c r="L950" s="152"/>
      <c r="M950" s="152"/>
      <c r="N950" s="152"/>
      <c r="O950" s="7"/>
      <c r="P950" s="197"/>
      <c r="Q950" s="103"/>
      <c r="S950" s="7"/>
      <c r="T950" s="7"/>
      <c r="U950" s="7"/>
      <c r="V950" s="7"/>
    </row>
    <row r="951" spans="2:22" ht="12.5">
      <c r="B951" s="152"/>
      <c r="C951" s="152"/>
      <c r="D951" s="152"/>
      <c r="E951" s="152"/>
      <c r="F951" s="152"/>
      <c r="G951" s="152"/>
      <c r="H951" s="152"/>
      <c r="I951" s="152"/>
      <c r="J951" s="152"/>
      <c r="K951" s="152"/>
      <c r="L951" s="152"/>
      <c r="M951" s="152"/>
      <c r="N951" s="152"/>
      <c r="O951" s="7"/>
      <c r="P951" s="197"/>
      <c r="Q951" s="103"/>
      <c r="S951" s="7"/>
      <c r="T951" s="7"/>
      <c r="U951" s="7"/>
      <c r="V951" s="7"/>
    </row>
    <row r="952" spans="2:22" ht="12.5">
      <c r="B952" s="152"/>
      <c r="C952" s="152"/>
      <c r="D952" s="152"/>
      <c r="E952" s="152"/>
      <c r="F952" s="152"/>
      <c r="G952" s="152"/>
      <c r="H952" s="152"/>
      <c r="I952" s="152"/>
      <c r="J952" s="152"/>
      <c r="K952" s="152"/>
      <c r="L952" s="152"/>
      <c r="M952" s="152"/>
      <c r="N952" s="152"/>
      <c r="O952" s="7"/>
      <c r="P952" s="197"/>
      <c r="Q952" s="103"/>
      <c r="S952" s="7"/>
      <c r="T952" s="7"/>
      <c r="U952" s="7"/>
      <c r="V952" s="7"/>
    </row>
    <row r="953" spans="2:22" ht="12.5">
      <c r="B953" s="152"/>
      <c r="C953" s="152"/>
      <c r="D953" s="152"/>
      <c r="E953" s="152"/>
      <c r="F953" s="152"/>
      <c r="G953" s="152"/>
      <c r="H953" s="152"/>
      <c r="I953" s="152"/>
      <c r="J953" s="152"/>
      <c r="K953" s="152"/>
      <c r="L953" s="152"/>
      <c r="M953" s="152"/>
      <c r="N953" s="152"/>
      <c r="O953" s="7"/>
      <c r="P953" s="197"/>
      <c r="Q953" s="103"/>
      <c r="S953" s="7"/>
      <c r="T953" s="7"/>
      <c r="U953" s="7"/>
      <c r="V953" s="7"/>
    </row>
    <row r="954" spans="2:22" ht="12.5">
      <c r="B954" s="152"/>
      <c r="C954" s="152"/>
      <c r="D954" s="152"/>
      <c r="E954" s="152"/>
      <c r="F954" s="152"/>
      <c r="G954" s="152"/>
      <c r="H954" s="152"/>
      <c r="I954" s="152"/>
      <c r="J954" s="152"/>
      <c r="K954" s="152"/>
      <c r="L954" s="152"/>
      <c r="M954" s="152"/>
      <c r="N954" s="152"/>
      <c r="O954" s="7"/>
      <c r="P954" s="197"/>
      <c r="Q954" s="103"/>
      <c r="S954" s="7"/>
      <c r="T954" s="7"/>
      <c r="U954" s="7"/>
      <c r="V954" s="7"/>
    </row>
    <row r="955" spans="2:22" ht="12.5">
      <c r="B955" s="152"/>
      <c r="C955" s="152"/>
      <c r="D955" s="152"/>
      <c r="E955" s="152"/>
      <c r="F955" s="152"/>
      <c r="G955" s="152"/>
      <c r="H955" s="152"/>
      <c r="I955" s="152"/>
      <c r="J955" s="152"/>
      <c r="K955" s="152"/>
      <c r="L955" s="152"/>
      <c r="M955" s="152"/>
      <c r="N955" s="152"/>
      <c r="O955" s="7"/>
      <c r="P955" s="197"/>
      <c r="Q955" s="103"/>
      <c r="S955" s="7"/>
      <c r="T955" s="7"/>
      <c r="U955" s="7"/>
      <c r="V955" s="7"/>
    </row>
    <row r="956" spans="2:22" ht="12.5">
      <c r="B956" s="152"/>
      <c r="C956" s="152"/>
      <c r="D956" s="152"/>
      <c r="E956" s="152"/>
      <c r="F956" s="152"/>
      <c r="G956" s="152"/>
      <c r="H956" s="152"/>
      <c r="I956" s="152"/>
      <c r="J956" s="152"/>
      <c r="K956" s="152"/>
      <c r="L956" s="152"/>
      <c r="M956" s="152"/>
      <c r="N956" s="152"/>
      <c r="O956" s="7"/>
      <c r="P956" s="197"/>
      <c r="Q956" s="103"/>
      <c r="S956" s="7"/>
      <c r="T956" s="7"/>
      <c r="U956" s="7"/>
      <c r="V956" s="7"/>
    </row>
    <row r="957" spans="2:22" ht="12.5">
      <c r="B957" s="152"/>
      <c r="C957" s="152"/>
      <c r="D957" s="152"/>
      <c r="E957" s="152"/>
      <c r="F957" s="152"/>
      <c r="G957" s="152"/>
      <c r="H957" s="152"/>
      <c r="I957" s="152"/>
      <c r="J957" s="152"/>
      <c r="K957" s="152"/>
      <c r="L957" s="152"/>
      <c r="M957" s="152"/>
      <c r="N957" s="152"/>
      <c r="O957" s="7"/>
      <c r="P957" s="197"/>
      <c r="Q957" s="103"/>
      <c r="S957" s="7"/>
      <c r="T957" s="7"/>
      <c r="U957" s="7"/>
      <c r="V957" s="7"/>
    </row>
    <row r="958" spans="2:22" ht="12.5">
      <c r="B958" s="152"/>
      <c r="C958" s="152"/>
      <c r="D958" s="152"/>
      <c r="E958" s="152"/>
      <c r="F958" s="152"/>
      <c r="G958" s="152"/>
      <c r="H958" s="152"/>
      <c r="I958" s="152"/>
      <c r="J958" s="152"/>
      <c r="K958" s="152"/>
      <c r="L958" s="152"/>
      <c r="M958" s="152"/>
      <c r="N958" s="152"/>
      <c r="O958" s="7"/>
      <c r="P958" s="197"/>
      <c r="Q958" s="103"/>
      <c r="S958" s="7"/>
      <c r="T958" s="7"/>
      <c r="U958" s="7"/>
      <c r="V958" s="7"/>
    </row>
    <row r="959" spans="2:22" ht="12.5">
      <c r="B959" s="152"/>
      <c r="C959" s="152"/>
      <c r="D959" s="152"/>
      <c r="E959" s="152"/>
      <c r="F959" s="152"/>
      <c r="G959" s="152"/>
      <c r="H959" s="152"/>
      <c r="I959" s="152"/>
      <c r="J959" s="152"/>
      <c r="K959" s="152"/>
      <c r="L959" s="152"/>
      <c r="M959" s="152"/>
      <c r="N959" s="152"/>
      <c r="O959" s="7"/>
      <c r="P959" s="197"/>
      <c r="Q959" s="103"/>
      <c r="S959" s="7"/>
      <c r="T959" s="7"/>
      <c r="U959" s="7"/>
      <c r="V959" s="7"/>
    </row>
    <row r="960" spans="2:22" ht="12.5">
      <c r="B960" s="152"/>
      <c r="C960" s="152"/>
      <c r="D960" s="152"/>
      <c r="E960" s="152"/>
      <c r="F960" s="152"/>
      <c r="G960" s="152"/>
      <c r="H960" s="152"/>
      <c r="I960" s="152"/>
      <c r="J960" s="152"/>
      <c r="K960" s="152"/>
      <c r="L960" s="152"/>
      <c r="M960" s="152"/>
      <c r="N960" s="152"/>
      <c r="O960" s="7"/>
      <c r="P960" s="197"/>
      <c r="Q960" s="103"/>
      <c r="S960" s="7"/>
      <c r="T960" s="7"/>
      <c r="U960" s="7"/>
      <c r="V960" s="7"/>
    </row>
    <row r="961" spans="2:22" ht="12.5">
      <c r="B961" s="152"/>
      <c r="C961" s="152"/>
      <c r="D961" s="152"/>
      <c r="E961" s="152"/>
      <c r="F961" s="152"/>
      <c r="G961" s="152"/>
      <c r="H961" s="152"/>
      <c r="I961" s="152"/>
      <c r="J961" s="152"/>
      <c r="K961" s="152"/>
      <c r="L961" s="152"/>
      <c r="M961" s="152"/>
      <c r="N961" s="152"/>
      <c r="O961" s="7"/>
      <c r="P961" s="197"/>
      <c r="Q961" s="103"/>
      <c r="S961" s="7"/>
      <c r="T961" s="7"/>
      <c r="U961" s="7"/>
      <c r="V961" s="7"/>
    </row>
    <row r="962" spans="2:22" ht="12.5">
      <c r="B962" s="152"/>
      <c r="C962" s="152"/>
      <c r="D962" s="152"/>
      <c r="E962" s="152"/>
      <c r="F962" s="152"/>
      <c r="G962" s="152"/>
      <c r="H962" s="152"/>
      <c r="I962" s="152"/>
      <c r="J962" s="152"/>
      <c r="K962" s="152"/>
      <c r="L962" s="152"/>
      <c r="M962" s="152"/>
      <c r="N962" s="152"/>
      <c r="O962" s="7"/>
      <c r="P962" s="197"/>
      <c r="Q962" s="103"/>
      <c r="S962" s="7"/>
      <c r="T962" s="7"/>
      <c r="U962" s="7"/>
      <c r="V962" s="7"/>
    </row>
    <row r="963" spans="2:22" ht="12.5">
      <c r="B963" s="152"/>
      <c r="C963" s="152"/>
      <c r="D963" s="152"/>
      <c r="E963" s="152"/>
      <c r="F963" s="152"/>
      <c r="G963" s="152"/>
      <c r="H963" s="152"/>
      <c r="I963" s="152"/>
      <c r="J963" s="152"/>
      <c r="K963" s="152"/>
      <c r="L963" s="152"/>
      <c r="M963" s="152"/>
      <c r="N963" s="152"/>
      <c r="O963" s="7"/>
      <c r="P963" s="197"/>
      <c r="Q963" s="103"/>
      <c r="S963" s="7"/>
      <c r="T963" s="7"/>
      <c r="U963" s="7"/>
      <c r="V963" s="7"/>
    </row>
    <row r="964" spans="2:22" ht="12.5">
      <c r="B964" s="152"/>
      <c r="C964" s="152"/>
      <c r="D964" s="152"/>
      <c r="E964" s="152"/>
      <c r="F964" s="152"/>
      <c r="G964" s="152"/>
      <c r="H964" s="152"/>
      <c r="I964" s="152"/>
      <c r="J964" s="152"/>
      <c r="K964" s="152"/>
      <c r="L964" s="152"/>
      <c r="M964" s="152"/>
      <c r="N964" s="152"/>
      <c r="O964" s="7"/>
      <c r="P964" s="197"/>
      <c r="Q964" s="103"/>
      <c r="S964" s="7"/>
      <c r="T964" s="7"/>
      <c r="U964" s="7"/>
      <c r="V964" s="7"/>
    </row>
    <row r="965" spans="2:22" ht="12.5">
      <c r="B965" s="152"/>
      <c r="C965" s="152"/>
      <c r="D965" s="152"/>
      <c r="E965" s="152"/>
      <c r="F965" s="152"/>
      <c r="G965" s="152"/>
      <c r="H965" s="152"/>
      <c r="I965" s="152"/>
      <c r="J965" s="152"/>
      <c r="K965" s="152"/>
      <c r="L965" s="152"/>
      <c r="M965" s="152"/>
      <c r="N965" s="152"/>
      <c r="O965" s="7"/>
      <c r="P965" s="197"/>
      <c r="Q965" s="103"/>
      <c r="S965" s="7"/>
      <c r="T965" s="7"/>
      <c r="U965" s="7"/>
      <c r="V965" s="7"/>
    </row>
    <row r="966" spans="2:22" ht="12.5">
      <c r="B966" s="152"/>
      <c r="C966" s="152"/>
      <c r="D966" s="152"/>
      <c r="E966" s="152"/>
      <c r="F966" s="152"/>
      <c r="G966" s="152"/>
      <c r="H966" s="152"/>
      <c r="I966" s="152"/>
      <c r="J966" s="152"/>
      <c r="K966" s="152"/>
      <c r="L966" s="152"/>
      <c r="M966" s="152"/>
      <c r="N966" s="152"/>
      <c r="O966" s="7"/>
      <c r="P966" s="197"/>
      <c r="Q966" s="103"/>
      <c r="S966" s="7"/>
      <c r="T966" s="7"/>
      <c r="U966" s="7"/>
      <c r="V966" s="7"/>
    </row>
    <row r="967" spans="2:22" ht="12.5">
      <c r="B967" s="152"/>
      <c r="C967" s="152"/>
      <c r="D967" s="152"/>
      <c r="E967" s="152"/>
      <c r="F967" s="152"/>
      <c r="G967" s="152"/>
      <c r="H967" s="152"/>
      <c r="I967" s="152"/>
      <c r="J967" s="152"/>
      <c r="K967" s="152"/>
      <c r="L967" s="152"/>
      <c r="M967" s="152"/>
      <c r="N967" s="152"/>
      <c r="O967" s="7"/>
      <c r="P967" s="197"/>
      <c r="Q967" s="103"/>
      <c r="S967" s="7"/>
      <c r="T967" s="7"/>
      <c r="U967" s="7"/>
      <c r="V967" s="7"/>
    </row>
    <row r="968" spans="2:22" ht="12.5">
      <c r="B968" s="152"/>
      <c r="C968" s="152"/>
      <c r="D968" s="152"/>
      <c r="E968" s="152"/>
      <c r="F968" s="152"/>
      <c r="G968" s="152"/>
      <c r="H968" s="152"/>
      <c r="I968" s="152"/>
      <c r="J968" s="152"/>
      <c r="K968" s="152"/>
      <c r="L968" s="152"/>
      <c r="M968" s="152"/>
      <c r="N968" s="152"/>
      <c r="O968" s="7"/>
      <c r="P968" s="197"/>
      <c r="Q968" s="103"/>
      <c r="S968" s="7"/>
      <c r="T968" s="7"/>
      <c r="U968" s="7"/>
      <c r="V968" s="7"/>
    </row>
    <row r="969" spans="2:22" ht="12.5">
      <c r="B969" s="152"/>
      <c r="C969" s="152"/>
      <c r="D969" s="152"/>
      <c r="E969" s="152"/>
      <c r="F969" s="152"/>
      <c r="G969" s="152"/>
      <c r="H969" s="152"/>
      <c r="I969" s="152"/>
      <c r="J969" s="152"/>
      <c r="K969" s="152"/>
      <c r="L969" s="152"/>
      <c r="M969" s="152"/>
      <c r="N969" s="152"/>
      <c r="O969" s="7"/>
      <c r="P969" s="197"/>
      <c r="Q969" s="103"/>
      <c r="S969" s="7"/>
      <c r="T969" s="7"/>
      <c r="U969" s="7"/>
      <c r="V969" s="7"/>
    </row>
    <row r="970" spans="2:22" ht="12.5">
      <c r="B970" s="152"/>
      <c r="C970" s="152"/>
      <c r="D970" s="152"/>
      <c r="E970" s="152"/>
      <c r="F970" s="152"/>
      <c r="G970" s="152"/>
      <c r="H970" s="152"/>
      <c r="I970" s="152"/>
      <c r="J970" s="152"/>
      <c r="K970" s="152"/>
      <c r="L970" s="152"/>
      <c r="M970" s="152"/>
      <c r="N970" s="152"/>
      <c r="O970" s="7"/>
      <c r="P970" s="197"/>
      <c r="Q970" s="103"/>
      <c r="S970" s="7"/>
      <c r="T970" s="7"/>
      <c r="U970" s="7"/>
      <c r="V970" s="7"/>
    </row>
    <row r="971" spans="2:22" ht="12.5">
      <c r="B971" s="152"/>
      <c r="C971" s="152"/>
      <c r="D971" s="152"/>
      <c r="E971" s="152"/>
      <c r="F971" s="152"/>
      <c r="G971" s="152"/>
      <c r="H971" s="152"/>
      <c r="I971" s="152"/>
      <c r="J971" s="152"/>
      <c r="K971" s="152"/>
      <c r="L971" s="152"/>
      <c r="M971" s="152"/>
      <c r="N971" s="152"/>
      <c r="O971" s="7"/>
      <c r="P971" s="197"/>
      <c r="Q971" s="103"/>
      <c r="S971" s="7"/>
      <c r="T971" s="7"/>
      <c r="U971" s="7"/>
      <c r="V971" s="7"/>
    </row>
    <row r="972" spans="2:22" ht="12.5">
      <c r="B972" s="152"/>
      <c r="C972" s="152"/>
      <c r="D972" s="152"/>
      <c r="E972" s="152"/>
      <c r="F972" s="152"/>
      <c r="G972" s="152"/>
      <c r="H972" s="152"/>
      <c r="I972" s="152"/>
      <c r="J972" s="152"/>
      <c r="K972" s="152"/>
      <c r="L972" s="152"/>
      <c r="M972" s="152"/>
      <c r="N972" s="152"/>
      <c r="O972" s="7"/>
      <c r="P972" s="197"/>
      <c r="Q972" s="103"/>
      <c r="S972" s="7"/>
      <c r="T972" s="7"/>
      <c r="U972" s="7"/>
      <c r="V972" s="7"/>
    </row>
    <row r="973" spans="2:22" ht="12.5">
      <c r="B973" s="152"/>
      <c r="C973" s="152"/>
      <c r="D973" s="152"/>
      <c r="E973" s="152"/>
      <c r="F973" s="152"/>
      <c r="G973" s="152"/>
      <c r="H973" s="152"/>
      <c r="I973" s="152"/>
      <c r="J973" s="152"/>
      <c r="K973" s="152"/>
      <c r="L973" s="152"/>
      <c r="M973" s="152"/>
      <c r="N973" s="152"/>
      <c r="O973" s="7"/>
      <c r="P973" s="197"/>
      <c r="Q973" s="103"/>
      <c r="S973" s="7"/>
      <c r="T973" s="7"/>
      <c r="U973" s="7"/>
      <c r="V973" s="7"/>
    </row>
    <row r="974" spans="2:22" ht="12.5">
      <c r="B974" s="152"/>
      <c r="C974" s="152"/>
      <c r="D974" s="152"/>
      <c r="E974" s="152"/>
      <c r="F974" s="152"/>
      <c r="G974" s="152"/>
      <c r="H974" s="152"/>
      <c r="I974" s="152"/>
      <c r="J974" s="152"/>
      <c r="K974" s="152"/>
      <c r="L974" s="152"/>
      <c r="M974" s="152"/>
      <c r="N974" s="152"/>
      <c r="O974" s="7"/>
      <c r="P974" s="197"/>
      <c r="Q974" s="103"/>
      <c r="S974" s="7"/>
      <c r="T974" s="7"/>
      <c r="U974" s="7"/>
      <c r="V974" s="7"/>
    </row>
    <row r="975" spans="2:22" ht="12.5">
      <c r="B975" s="152"/>
      <c r="C975" s="152"/>
      <c r="D975" s="152"/>
      <c r="E975" s="152"/>
      <c r="F975" s="152"/>
      <c r="G975" s="152"/>
      <c r="H975" s="152"/>
      <c r="I975" s="152"/>
      <c r="J975" s="152"/>
      <c r="K975" s="152"/>
      <c r="L975" s="152"/>
      <c r="M975" s="152"/>
      <c r="N975" s="152"/>
      <c r="O975" s="7"/>
      <c r="P975" s="197"/>
      <c r="Q975" s="103"/>
      <c r="S975" s="7"/>
      <c r="T975" s="7"/>
      <c r="U975" s="7"/>
      <c r="V975" s="7"/>
    </row>
    <row r="976" spans="2:22" ht="12.5">
      <c r="B976" s="152"/>
      <c r="C976" s="152"/>
      <c r="D976" s="152"/>
      <c r="E976" s="152"/>
      <c r="F976" s="152"/>
      <c r="G976" s="152"/>
      <c r="H976" s="152"/>
      <c r="I976" s="152"/>
      <c r="J976" s="152"/>
      <c r="K976" s="152"/>
      <c r="L976" s="152"/>
      <c r="M976" s="152"/>
      <c r="N976" s="152"/>
      <c r="O976" s="7"/>
      <c r="P976" s="197"/>
      <c r="Q976" s="103"/>
      <c r="S976" s="7"/>
      <c r="T976" s="7"/>
      <c r="U976" s="7"/>
      <c r="V976" s="7"/>
    </row>
    <row r="977" spans="2:22" ht="12.5">
      <c r="B977" s="152"/>
      <c r="C977" s="152"/>
      <c r="D977" s="152"/>
      <c r="E977" s="152"/>
      <c r="F977" s="152"/>
      <c r="G977" s="152"/>
      <c r="H977" s="152"/>
      <c r="I977" s="152"/>
      <c r="J977" s="152"/>
      <c r="K977" s="152"/>
      <c r="L977" s="152"/>
      <c r="M977" s="152"/>
      <c r="N977" s="152"/>
      <c r="O977" s="7"/>
      <c r="P977" s="197"/>
      <c r="Q977" s="103"/>
      <c r="S977" s="7"/>
      <c r="T977" s="7"/>
      <c r="U977" s="7"/>
      <c r="V977" s="7"/>
    </row>
    <row r="978" spans="2:22" ht="12.5">
      <c r="B978" s="152"/>
      <c r="C978" s="152"/>
      <c r="D978" s="152"/>
      <c r="E978" s="152"/>
      <c r="F978" s="152"/>
      <c r="G978" s="152"/>
      <c r="H978" s="152"/>
      <c r="I978" s="152"/>
      <c r="J978" s="152"/>
      <c r="K978" s="152"/>
      <c r="L978" s="152"/>
      <c r="M978" s="152"/>
      <c r="N978" s="152"/>
      <c r="O978" s="7"/>
      <c r="P978" s="197"/>
      <c r="Q978" s="103"/>
      <c r="S978" s="7"/>
      <c r="T978" s="7"/>
      <c r="U978" s="7"/>
      <c r="V978" s="7"/>
    </row>
    <row r="979" spans="2:22" ht="12.5">
      <c r="B979" s="152"/>
      <c r="C979" s="152"/>
      <c r="D979" s="152"/>
      <c r="E979" s="152"/>
      <c r="F979" s="152"/>
      <c r="G979" s="152"/>
      <c r="H979" s="152"/>
      <c r="I979" s="152"/>
      <c r="J979" s="152"/>
      <c r="K979" s="152"/>
      <c r="L979" s="152"/>
      <c r="M979" s="152"/>
      <c r="N979" s="152"/>
      <c r="O979" s="7"/>
      <c r="P979" s="197"/>
      <c r="Q979" s="103"/>
      <c r="S979" s="7"/>
      <c r="T979" s="7"/>
      <c r="U979" s="7"/>
      <c r="V979" s="7"/>
    </row>
    <row r="980" spans="2:22" ht="12.5">
      <c r="B980" s="152"/>
      <c r="C980" s="152"/>
      <c r="D980" s="152"/>
      <c r="E980" s="152"/>
      <c r="F980" s="152"/>
      <c r="G980" s="152"/>
      <c r="H980" s="152"/>
      <c r="I980" s="152"/>
      <c r="J980" s="152"/>
      <c r="K980" s="152"/>
      <c r="L980" s="152"/>
      <c r="M980" s="152"/>
      <c r="N980" s="152"/>
      <c r="O980" s="7"/>
      <c r="P980" s="197"/>
      <c r="Q980" s="103"/>
      <c r="S980" s="7"/>
      <c r="T980" s="7"/>
      <c r="U980" s="7"/>
      <c r="V980" s="7"/>
    </row>
    <row r="981" spans="2:22" ht="12.5">
      <c r="B981" s="152"/>
      <c r="C981" s="152"/>
      <c r="D981" s="152"/>
      <c r="E981" s="152"/>
      <c r="F981" s="152"/>
      <c r="G981" s="152"/>
      <c r="H981" s="152"/>
      <c r="I981" s="152"/>
      <c r="J981" s="152"/>
      <c r="K981" s="152"/>
      <c r="L981" s="152"/>
      <c r="M981" s="152"/>
      <c r="N981" s="152"/>
      <c r="O981" s="7"/>
      <c r="P981" s="197"/>
      <c r="Q981" s="103"/>
      <c r="S981" s="7"/>
      <c r="T981" s="7"/>
      <c r="U981" s="7"/>
      <c r="V981" s="7"/>
    </row>
    <row r="982" spans="2:22" ht="12.5">
      <c r="B982" s="152"/>
      <c r="C982" s="152"/>
      <c r="D982" s="152"/>
      <c r="E982" s="152"/>
      <c r="F982" s="152"/>
      <c r="G982" s="152"/>
      <c r="H982" s="152"/>
      <c r="I982" s="152"/>
      <c r="J982" s="152"/>
      <c r="K982" s="152"/>
      <c r="L982" s="152"/>
      <c r="M982" s="152"/>
      <c r="N982" s="152"/>
      <c r="O982" s="7"/>
      <c r="P982" s="197"/>
      <c r="Q982" s="103"/>
      <c r="S982" s="7"/>
      <c r="T982" s="7"/>
      <c r="U982" s="7"/>
      <c r="V982" s="7"/>
    </row>
    <row r="983" spans="2:22" ht="12.5">
      <c r="B983" s="152"/>
      <c r="C983" s="152"/>
      <c r="D983" s="152"/>
      <c r="E983" s="152"/>
      <c r="F983" s="152"/>
      <c r="G983" s="152"/>
      <c r="H983" s="152"/>
      <c r="I983" s="152"/>
      <c r="J983" s="152"/>
      <c r="K983" s="152"/>
      <c r="L983" s="152"/>
      <c r="M983" s="152"/>
      <c r="N983" s="152"/>
      <c r="O983" s="7"/>
      <c r="P983" s="197"/>
      <c r="Q983" s="103"/>
      <c r="S983" s="7"/>
      <c r="T983" s="7"/>
      <c r="U983" s="7"/>
      <c r="V983" s="7"/>
    </row>
    <row r="984" spans="2:22" ht="12.5">
      <c r="B984" s="152"/>
      <c r="C984" s="152"/>
      <c r="D984" s="152"/>
      <c r="E984" s="152"/>
      <c r="F984" s="152"/>
      <c r="G984" s="152"/>
      <c r="H984" s="152"/>
      <c r="I984" s="152"/>
      <c r="J984" s="152"/>
      <c r="K984" s="152"/>
      <c r="L984" s="152"/>
      <c r="M984" s="152"/>
      <c r="N984" s="152"/>
      <c r="O984" s="7"/>
      <c r="P984" s="197"/>
      <c r="Q984" s="103"/>
      <c r="S984" s="7"/>
      <c r="T984" s="7"/>
      <c r="U984" s="7"/>
      <c r="V984" s="7"/>
    </row>
    <row r="985" spans="2:22" ht="12.5">
      <c r="B985" s="152"/>
      <c r="C985" s="152"/>
      <c r="D985" s="152"/>
      <c r="E985" s="152"/>
      <c r="F985" s="152"/>
      <c r="G985" s="152"/>
      <c r="H985" s="152"/>
      <c r="I985" s="152"/>
      <c r="J985" s="152"/>
      <c r="K985" s="152"/>
      <c r="L985" s="152"/>
      <c r="M985" s="152"/>
      <c r="N985" s="152"/>
      <c r="O985" s="7"/>
      <c r="P985" s="197"/>
      <c r="Q985" s="103"/>
      <c r="S985" s="7"/>
      <c r="T985" s="7"/>
      <c r="U985" s="7"/>
      <c r="V985" s="7"/>
    </row>
    <row r="986" spans="2:22" ht="12.5">
      <c r="B986" s="152"/>
      <c r="C986" s="152"/>
      <c r="D986" s="152"/>
      <c r="E986" s="152"/>
      <c r="F986" s="152"/>
      <c r="G986" s="152"/>
      <c r="H986" s="152"/>
      <c r="I986" s="152"/>
      <c r="J986" s="152"/>
      <c r="K986" s="152"/>
      <c r="L986" s="152"/>
      <c r="M986" s="152"/>
      <c r="N986" s="152"/>
      <c r="O986" s="7"/>
      <c r="P986" s="197"/>
      <c r="Q986" s="103"/>
      <c r="S986" s="7"/>
      <c r="T986" s="7"/>
      <c r="U986" s="7"/>
      <c r="V986" s="7"/>
    </row>
    <row r="987" spans="2:22" ht="12.5">
      <c r="B987" s="152"/>
      <c r="C987" s="152"/>
      <c r="D987" s="152"/>
      <c r="E987" s="152"/>
      <c r="F987" s="152"/>
      <c r="G987" s="152"/>
      <c r="H987" s="152"/>
      <c r="I987" s="152"/>
      <c r="J987" s="152"/>
      <c r="K987" s="152"/>
      <c r="L987" s="152"/>
      <c r="M987" s="152"/>
      <c r="N987" s="152"/>
      <c r="O987" s="7"/>
      <c r="P987" s="197"/>
      <c r="Q987" s="103"/>
      <c r="S987" s="7"/>
      <c r="T987" s="7"/>
      <c r="U987" s="7"/>
      <c r="V987" s="7"/>
    </row>
    <row r="988" spans="2:22" ht="12.5">
      <c r="B988" s="152"/>
      <c r="C988" s="152"/>
      <c r="D988" s="152"/>
      <c r="E988" s="152"/>
      <c r="F988" s="152"/>
      <c r="G988" s="152"/>
      <c r="H988" s="152"/>
      <c r="I988" s="152"/>
      <c r="J988" s="152"/>
      <c r="K988" s="152"/>
      <c r="L988" s="152"/>
      <c r="M988" s="152"/>
      <c r="N988" s="152"/>
      <c r="O988" s="7"/>
      <c r="P988" s="197"/>
      <c r="Q988" s="103"/>
      <c r="S988" s="7"/>
      <c r="T988" s="7"/>
      <c r="U988" s="7"/>
      <c r="V988" s="7"/>
    </row>
    <row r="989" spans="2:22" ht="12.5">
      <c r="B989" s="152"/>
      <c r="C989" s="152"/>
      <c r="D989" s="152"/>
      <c r="E989" s="152"/>
      <c r="F989" s="152"/>
      <c r="G989" s="152"/>
      <c r="H989" s="152"/>
      <c r="I989" s="152"/>
      <c r="J989" s="152"/>
      <c r="K989" s="152"/>
      <c r="L989" s="152"/>
      <c r="M989" s="152"/>
      <c r="N989" s="152"/>
      <c r="O989" s="7"/>
      <c r="P989" s="197"/>
      <c r="Q989" s="103"/>
      <c r="S989" s="7"/>
      <c r="T989" s="7"/>
      <c r="U989" s="7"/>
      <c r="V989" s="7"/>
    </row>
    <row r="990" spans="2:22" ht="12.5">
      <c r="B990" s="152"/>
      <c r="C990" s="152"/>
      <c r="D990" s="152"/>
      <c r="E990" s="152"/>
      <c r="F990" s="152"/>
      <c r="G990" s="152"/>
      <c r="H990" s="152"/>
      <c r="I990" s="152"/>
      <c r="J990" s="152"/>
      <c r="K990" s="152"/>
      <c r="L990" s="152"/>
      <c r="M990" s="152"/>
      <c r="N990" s="152"/>
      <c r="O990" s="7"/>
      <c r="P990" s="197"/>
      <c r="Q990" s="103"/>
      <c r="S990" s="7"/>
      <c r="T990" s="7"/>
      <c r="U990" s="7"/>
      <c r="V990" s="7"/>
    </row>
    <row r="991" spans="2:22" ht="12.5">
      <c r="B991" s="152"/>
      <c r="C991" s="152"/>
      <c r="D991" s="152"/>
      <c r="E991" s="152"/>
      <c r="F991" s="152"/>
      <c r="G991" s="152"/>
      <c r="H991" s="152"/>
      <c r="I991" s="152"/>
      <c r="J991" s="152"/>
      <c r="K991" s="152"/>
      <c r="L991" s="152"/>
      <c r="M991" s="152"/>
      <c r="N991" s="152"/>
      <c r="O991" s="7"/>
      <c r="P991" s="197"/>
      <c r="Q991" s="103"/>
      <c r="S991" s="7"/>
      <c r="T991" s="7"/>
      <c r="U991" s="7"/>
      <c r="V991" s="7"/>
    </row>
    <row r="992" spans="2:22" ht="12.5">
      <c r="B992" s="152"/>
      <c r="C992" s="152"/>
      <c r="D992" s="152"/>
      <c r="E992" s="152"/>
      <c r="F992" s="152"/>
      <c r="G992" s="152"/>
      <c r="H992" s="152"/>
      <c r="I992" s="152"/>
      <c r="J992" s="152"/>
      <c r="K992" s="152"/>
      <c r="L992" s="152"/>
      <c r="M992" s="152"/>
      <c r="N992" s="152"/>
      <c r="O992" s="7"/>
      <c r="P992" s="197"/>
      <c r="Q992" s="103"/>
      <c r="S992" s="7"/>
      <c r="T992" s="7"/>
      <c r="U992" s="7"/>
      <c r="V992" s="7"/>
    </row>
    <row r="993" spans="2:22" ht="12.5">
      <c r="B993" s="152"/>
      <c r="C993" s="152"/>
      <c r="D993" s="152"/>
      <c r="E993" s="152"/>
      <c r="F993" s="152"/>
      <c r="G993" s="152"/>
      <c r="H993" s="152"/>
      <c r="I993" s="152"/>
      <c r="J993" s="152"/>
      <c r="K993" s="152"/>
      <c r="L993" s="152"/>
      <c r="M993" s="152"/>
      <c r="N993" s="152"/>
      <c r="O993" s="7"/>
      <c r="P993" s="197"/>
      <c r="Q993" s="103"/>
      <c r="S993" s="7"/>
      <c r="T993" s="7"/>
      <c r="U993" s="7"/>
      <c r="V993" s="7"/>
    </row>
    <row r="994" spans="2:22" ht="12.5">
      <c r="B994" s="152"/>
      <c r="C994" s="152"/>
      <c r="D994" s="152"/>
      <c r="E994" s="152"/>
      <c r="F994" s="152"/>
      <c r="G994" s="152"/>
      <c r="H994" s="152"/>
      <c r="I994" s="152"/>
      <c r="J994" s="152"/>
      <c r="K994" s="152"/>
      <c r="L994" s="152"/>
      <c r="M994" s="152"/>
      <c r="N994" s="152"/>
      <c r="O994" s="7"/>
      <c r="P994" s="197"/>
      <c r="Q994" s="103"/>
      <c r="S994" s="7"/>
      <c r="T994" s="7"/>
      <c r="U994" s="7"/>
      <c r="V994" s="7"/>
    </row>
    <row r="995" spans="2:22" ht="12.5">
      <c r="B995" s="152"/>
      <c r="C995" s="152"/>
      <c r="D995" s="152"/>
      <c r="E995" s="152"/>
      <c r="F995" s="152"/>
      <c r="G995" s="152"/>
      <c r="H995" s="152"/>
      <c r="I995" s="152"/>
      <c r="J995" s="152"/>
      <c r="K995" s="152"/>
      <c r="L995" s="152"/>
      <c r="M995" s="152"/>
      <c r="N995" s="152"/>
      <c r="O995" s="7"/>
      <c r="P995" s="197"/>
      <c r="Q995" s="103"/>
      <c r="S995" s="7"/>
      <c r="T995" s="7"/>
      <c r="U995" s="7"/>
      <c r="V995" s="7"/>
    </row>
    <row r="996" spans="2:22" ht="12.5">
      <c r="B996" s="152"/>
      <c r="C996" s="152"/>
      <c r="D996" s="152"/>
      <c r="E996" s="152"/>
      <c r="F996" s="152"/>
      <c r="G996" s="152"/>
      <c r="H996" s="152"/>
      <c r="I996" s="152"/>
      <c r="J996" s="152"/>
      <c r="K996" s="152"/>
      <c r="L996" s="152"/>
      <c r="M996" s="152"/>
      <c r="N996" s="152"/>
      <c r="O996" s="7"/>
      <c r="P996" s="197"/>
      <c r="Q996" s="103"/>
      <c r="S996" s="7"/>
      <c r="T996" s="7"/>
      <c r="U996" s="7"/>
      <c r="V996" s="7"/>
    </row>
    <row r="997" spans="2:22" ht="12.5">
      <c r="B997" s="152"/>
      <c r="C997" s="152"/>
      <c r="D997" s="152"/>
      <c r="E997" s="152"/>
      <c r="F997" s="152"/>
      <c r="G997" s="152"/>
      <c r="H997" s="152"/>
      <c r="I997" s="152"/>
      <c r="J997" s="152"/>
      <c r="K997" s="152"/>
      <c r="L997" s="152"/>
      <c r="M997" s="152"/>
      <c r="N997" s="152"/>
      <c r="O997" s="7"/>
      <c r="P997" s="197"/>
      <c r="Q997" s="103"/>
      <c r="S997" s="7"/>
      <c r="T997" s="7"/>
      <c r="U997" s="7"/>
      <c r="V997" s="7"/>
    </row>
    <row r="998" spans="2:22" ht="12.5">
      <c r="B998" s="152"/>
      <c r="C998" s="152"/>
      <c r="D998" s="152"/>
      <c r="E998" s="152"/>
      <c r="F998" s="152"/>
      <c r="G998" s="152"/>
      <c r="H998" s="152"/>
      <c r="I998" s="152"/>
      <c r="J998" s="152"/>
      <c r="K998" s="152"/>
      <c r="L998" s="152"/>
      <c r="M998" s="152"/>
      <c r="N998" s="152"/>
      <c r="O998" s="7"/>
      <c r="P998" s="197"/>
      <c r="Q998" s="103"/>
      <c r="S998" s="7"/>
      <c r="T998" s="7"/>
      <c r="U998" s="7"/>
      <c r="V998" s="7"/>
    </row>
    <row r="999" spans="2:22" ht="12.5">
      <c r="B999" s="152"/>
      <c r="C999" s="152"/>
      <c r="D999" s="152"/>
      <c r="E999" s="152"/>
      <c r="F999" s="152"/>
      <c r="G999" s="152"/>
      <c r="H999" s="152"/>
      <c r="I999" s="152"/>
      <c r="J999" s="152"/>
      <c r="K999" s="152"/>
      <c r="L999" s="152"/>
      <c r="M999" s="152"/>
      <c r="N999" s="152"/>
      <c r="O999" s="7"/>
      <c r="P999" s="197"/>
      <c r="Q999" s="103"/>
      <c r="S999" s="7"/>
      <c r="T999" s="7"/>
      <c r="U999" s="7"/>
      <c r="V999" s="7"/>
    </row>
    <row r="1000" spans="2:22" ht="12.5">
      <c r="B1000" s="152"/>
      <c r="C1000" s="152"/>
      <c r="D1000" s="152"/>
      <c r="E1000" s="152"/>
      <c r="F1000" s="152"/>
      <c r="G1000" s="152"/>
      <c r="H1000" s="152"/>
      <c r="I1000" s="152"/>
      <c r="J1000" s="152"/>
      <c r="K1000" s="152"/>
      <c r="L1000" s="152"/>
      <c r="M1000" s="152"/>
      <c r="N1000" s="152"/>
      <c r="O1000" s="7"/>
      <c r="P1000" s="197"/>
      <c r="Q1000" s="103"/>
      <c r="S1000" s="7"/>
      <c r="T1000" s="7"/>
      <c r="U1000" s="7"/>
      <c r="V1000" s="7"/>
    </row>
    <row r="1001" spans="2:22" ht="12.5">
      <c r="B1001" s="152"/>
      <c r="C1001" s="152"/>
      <c r="D1001" s="152"/>
      <c r="E1001" s="152"/>
      <c r="F1001" s="152"/>
      <c r="G1001" s="152"/>
      <c r="H1001" s="152"/>
      <c r="I1001" s="152"/>
      <c r="J1001" s="152"/>
      <c r="K1001" s="152"/>
      <c r="L1001" s="152"/>
      <c r="M1001" s="152"/>
      <c r="N1001" s="152"/>
      <c r="O1001" s="7"/>
      <c r="P1001" s="197"/>
      <c r="Q1001" s="103"/>
      <c r="S1001" s="7"/>
      <c r="T1001" s="7"/>
      <c r="U1001" s="7"/>
      <c r="V1001" s="7"/>
    </row>
    <row r="1002" spans="2:22" ht="12.5">
      <c r="B1002" s="152"/>
      <c r="C1002" s="152"/>
      <c r="D1002" s="152"/>
      <c r="E1002" s="152"/>
      <c r="F1002" s="152"/>
      <c r="G1002" s="152"/>
      <c r="H1002" s="152"/>
      <c r="I1002" s="152"/>
      <c r="J1002" s="152"/>
      <c r="K1002" s="152"/>
      <c r="L1002" s="152"/>
      <c r="M1002" s="152"/>
      <c r="N1002" s="152"/>
      <c r="O1002" s="7"/>
      <c r="P1002" s="197"/>
      <c r="Q1002" s="103"/>
      <c r="S1002" s="7"/>
      <c r="T1002" s="7"/>
      <c r="U1002" s="7"/>
      <c r="V1002" s="7"/>
    </row>
    <row r="1003" spans="2:22" ht="12.5">
      <c r="B1003" s="152"/>
      <c r="C1003" s="152"/>
      <c r="D1003" s="152"/>
      <c r="E1003" s="152"/>
      <c r="F1003" s="152"/>
      <c r="G1003" s="152"/>
      <c r="H1003" s="152"/>
      <c r="I1003" s="152"/>
      <c r="J1003" s="152"/>
      <c r="K1003" s="152"/>
      <c r="L1003" s="152"/>
      <c r="M1003" s="152"/>
      <c r="N1003" s="152"/>
      <c r="O1003" s="7"/>
      <c r="P1003" s="197"/>
      <c r="Q1003" s="103"/>
      <c r="S1003" s="7"/>
      <c r="T1003" s="7"/>
      <c r="U1003" s="7"/>
      <c r="V1003" s="7"/>
    </row>
    <row r="1004" spans="2:22" ht="12.5">
      <c r="B1004" s="152"/>
      <c r="C1004" s="152"/>
      <c r="D1004" s="152"/>
      <c r="E1004" s="152"/>
      <c r="F1004" s="152"/>
      <c r="G1004" s="152"/>
      <c r="H1004" s="152"/>
      <c r="I1004" s="152"/>
      <c r="J1004" s="152"/>
      <c r="K1004" s="152"/>
      <c r="L1004" s="152"/>
      <c r="M1004" s="152"/>
      <c r="N1004" s="152"/>
      <c r="O1004" s="7"/>
      <c r="P1004" s="197"/>
      <c r="Q1004" s="103"/>
      <c r="S1004" s="7"/>
      <c r="T1004" s="7"/>
      <c r="U1004" s="7"/>
      <c r="V1004" s="7"/>
    </row>
    <row r="1005" spans="2:22" ht="12.5">
      <c r="B1005" s="152"/>
      <c r="C1005" s="152"/>
      <c r="D1005" s="152"/>
      <c r="E1005" s="152"/>
      <c r="F1005" s="152"/>
      <c r="G1005" s="152"/>
      <c r="H1005" s="152"/>
      <c r="I1005" s="152"/>
      <c r="J1005" s="152"/>
      <c r="K1005" s="152"/>
      <c r="L1005" s="152"/>
      <c r="M1005" s="152"/>
      <c r="N1005" s="152"/>
      <c r="O1005" s="7"/>
      <c r="P1005" s="197"/>
      <c r="Q1005" s="103"/>
      <c r="S1005" s="7"/>
      <c r="T1005" s="7"/>
      <c r="U1005" s="7"/>
      <c r="V1005" s="7"/>
    </row>
    <row r="1006" spans="2:22" ht="12.5">
      <c r="B1006" s="152"/>
      <c r="C1006" s="152"/>
      <c r="D1006" s="152"/>
      <c r="E1006" s="152"/>
      <c r="F1006" s="152"/>
      <c r="G1006" s="152"/>
      <c r="H1006" s="152"/>
      <c r="I1006" s="152"/>
      <c r="J1006" s="152"/>
      <c r="K1006" s="152"/>
      <c r="L1006" s="152"/>
      <c r="M1006" s="152"/>
      <c r="N1006" s="152"/>
      <c r="O1006" s="7"/>
      <c r="P1006" s="197"/>
      <c r="Q1006" s="103"/>
      <c r="S1006" s="7"/>
      <c r="T1006" s="7"/>
      <c r="U1006" s="7"/>
      <c r="V1006" s="7"/>
    </row>
    <row r="1007" spans="2:22" ht="12.5">
      <c r="B1007" s="152"/>
      <c r="C1007" s="152"/>
      <c r="D1007" s="152"/>
      <c r="E1007" s="152"/>
      <c r="F1007" s="152"/>
      <c r="G1007" s="152"/>
      <c r="H1007" s="152"/>
      <c r="I1007" s="152"/>
      <c r="J1007" s="152"/>
      <c r="K1007" s="152"/>
      <c r="L1007" s="152"/>
      <c r="M1007" s="152"/>
      <c r="N1007" s="152"/>
      <c r="O1007" s="7"/>
      <c r="P1007" s="197"/>
      <c r="Q1007" s="103"/>
      <c r="S1007" s="7"/>
      <c r="T1007" s="7"/>
      <c r="U1007" s="7"/>
      <c r="V1007" s="7"/>
    </row>
    <row r="1008" spans="2:22" ht="12.5">
      <c r="B1008" s="152"/>
      <c r="C1008" s="152"/>
      <c r="D1008" s="152"/>
      <c r="E1008" s="152"/>
      <c r="F1008" s="152"/>
      <c r="G1008" s="152"/>
      <c r="H1008" s="152"/>
      <c r="I1008" s="152"/>
      <c r="J1008" s="152"/>
      <c r="K1008" s="152"/>
      <c r="L1008" s="152"/>
      <c r="M1008" s="152"/>
      <c r="N1008" s="152"/>
      <c r="O1008" s="7"/>
      <c r="P1008" s="197"/>
      <c r="Q1008" s="103"/>
      <c r="S1008" s="7"/>
      <c r="T1008" s="7"/>
      <c r="U1008" s="7"/>
      <c r="V1008" s="7"/>
    </row>
    <row r="1009" spans="2:22" ht="12.5">
      <c r="B1009" s="152"/>
      <c r="C1009" s="152"/>
      <c r="D1009" s="152"/>
      <c r="E1009" s="152"/>
      <c r="F1009" s="152"/>
      <c r="G1009" s="152"/>
      <c r="H1009" s="152"/>
      <c r="I1009" s="152"/>
      <c r="J1009" s="152"/>
      <c r="K1009" s="152"/>
      <c r="L1009" s="152"/>
      <c r="M1009" s="152"/>
      <c r="N1009" s="152"/>
      <c r="O1009" s="7"/>
      <c r="P1009" s="197"/>
      <c r="Q1009" s="103"/>
      <c r="S1009" s="7"/>
      <c r="T1009" s="7"/>
      <c r="U1009" s="7"/>
      <c r="V1009" s="7"/>
    </row>
    <row r="1010" spans="2:22" ht="12.5">
      <c r="B1010" s="152"/>
      <c r="C1010" s="152"/>
      <c r="D1010" s="152"/>
      <c r="E1010" s="152"/>
      <c r="F1010" s="152"/>
      <c r="G1010" s="152"/>
      <c r="H1010" s="152"/>
      <c r="I1010" s="152"/>
      <c r="J1010" s="152"/>
      <c r="K1010" s="152"/>
      <c r="L1010" s="152"/>
      <c r="M1010" s="152"/>
      <c r="N1010" s="152"/>
      <c r="O1010" s="7"/>
      <c r="P1010" s="197"/>
      <c r="Q1010" s="103"/>
      <c r="S1010" s="7"/>
      <c r="T1010" s="7"/>
      <c r="U1010" s="7"/>
      <c r="V1010" s="7"/>
    </row>
    <row r="1011" spans="2:22" ht="12.5">
      <c r="B1011" s="152"/>
      <c r="C1011" s="152"/>
      <c r="D1011" s="152"/>
      <c r="E1011" s="152"/>
      <c r="F1011" s="152"/>
      <c r="G1011" s="152"/>
      <c r="H1011" s="152"/>
      <c r="I1011" s="152"/>
      <c r="J1011" s="152"/>
      <c r="K1011" s="152"/>
      <c r="L1011" s="152"/>
      <c r="M1011" s="152"/>
      <c r="N1011" s="152"/>
      <c r="O1011" s="7"/>
      <c r="P1011" s="197"/>
      <c r="Q1011" s="103"/>
      <c r="S1011" s="7"/>
      <c r="T1011" s="7"/>
      <c r="U1011" s="7"/>
      <c r="V1011" s="7"/>
    </row>
    <row r="1012" spans="2:22" ht="12.5">
      <c r="B1012" s="152"/>
      <c r="C1012" s="152"/>
      <c r="D1012" s="152"/>
      <c r="E1012" s="152"/>
      <c r="F1012" s="152"/>
      <c r="G1012" s="152"/>
      <c r="H1012" s="152"/>
      <c r="I1012" s="152"/>
      <c r="J1012" s="152"/>
      <c r="K1012" s="152"/>
      <c r="L1012" s="152"/>
      <c r="M1012" s="152"/>
      <c r="N1012" s="152"/>
      <c r="O1012" s="7"/>
      <c r="P1012" s="197"/>
      <c r="Q1012" s="103"/>
      <c r="S1012" s="7"/>
      <c r="T1012" s="7"/>
      <c r="U1012" s="7"/>
      <c r="V1012" s="7"/>
    </row>
    <row r="1013" spans="2:22" ht="12.5">
      <c r="B1013" s="152"/>
      <c r="C1013" s="152"/>
      <c r="D1013" s="152"/>
      <c r="E1013" s="152"/>
      <c r="F1013" s="152"/>
      <c r="G1013" s="152"/>
      <c r="H1013" s="152"/>
      <c r="I1013" s="152"/>
      <c r="J1013" s="152"/>
      <c r="K1013" s="152"/>
      <c r="L1013" s="152"/>
      <c r="M1013" s="152"/>
      <c r="N1013" s="152"/>
      <c r="O1013" s="7"/>
      <c r="P1013" s="197"/>
      <c r="Q1013" s="103"/>
      <c r="S1013" s="7"/>
      <c r="T1013" s="7"/>
      <c r="U1013" s="7"/>
      <c r="V1013" s="7"/>
    </row>
    <row r="1014" spans="2:22" ht="12.5">
      <c r="B1014" s="152"/>
      <c r="C1014" s="152"/>
      <c r="D1014" s="152"/>
      <c r="E1014" s="152"/>
      <c r="F1014" s="152"/>
      <c r="G1014" s="152"/>
      <c r="H1014" s="152"/>
      <c r="I1014" s="152"/>
      <c r="J1014" s="152"/>
      <c r="K1014" s="152"/>
      <c r="L1014" s="152"/>
      <c r="M1014" s="152"/>
      <c r="N1014" s="152"/>
      <c r="O1014" s="7"/>
      <c r="P1014" s="197"/>
      <c r="Q1014" s="103"/>
      <c r="S1014" s="7"/>
      <c r="T1014" s="7"/>
      <c r="U1014" s="7"/>
      <c r="V1014" s="7"/>
    </row>
    <row r="1015" spans="2:22" ht="12.5">
      <c r="B1015" s="152"/>
      <c r="C1015" s="152"/>
      <c r="D1015" s="152"/>
      <c r="E1015" s="152"/>
      <c r="F1015" s="152"/>
      <c r="G1015" s="152"/>
      <c r="H1015" s="152"/>
      <c r="I1015" s="152"/>
      <c r="J1015" s="152"/>
      <c r="K1015" s="152"/>
      <c r="L1015" s="152"/>
      <c r="M1015" s="152"/>
      <c r="N1015" s="152"/>
      <c r="O1015" s="7"/>
      <c r="P1015" s="197"/>
      <c r="Q1015" s="103"/>
      <c r="S1015" s="7"/>
      <c r="T1015" s="7"/>
      <c r="U1015" s="7"/>
      <c r="V1015" s="7"/>
    </row>
    <row r="1016" spans="2:22" ht="12.5">
      <c r="B1016" s="152"/>
      <c r="C1016" s="152"/>
      <c r="D1016" s="152"/>
      <c r="E1016" s="152"/>
      <c r="F1016" s="152"/>
      <c r="G1016" s="152"/>
      <c r="H1016" s="152"/>
      <c r="I1016" s="152"/>
      <c r="J1016" s="152"/>
      <c r="K1016" s="152"/>
      <c r="L1016" s="152"/>
      <c r="M1016" s="152"/>
      <c r="N1016" s="152"/>
      <c r="O1016" s="7"/>
      <c r="P1016" s="197"/>
      <c r="Q1016" s="103"/>
      <c r="S1016" s="7"/>
      <c r="T1016" s="7"/>
      <c r="U1016" s="7"/>
      <c r="V1016" s="7"/>
    </row>
    <row r="1017" spans="2:22" ht="12.5">
      <c r="B1017" s="152"/>
      <c r="C1017" s="152"/>
      <c r="D1017" s="152"/>
      <c r="E1017" s="152"/>
      <c r="F1017" s="152"/>
      <c r="G1017" s="152"/>
      <c r="H1017" s="152"/>
      <c r="I1017" s="152"/>
      <c r="J1017" s="152"/>
      <c r="K1017" s="152"/>
      <c r="L1017" s="152"/>
      <c r="M1017" s="152"/>
      <c r="N1017" s="152"/>
      <c r="O1017" s="7"/>
      <c r="P1017" s="197"/>
      <c r="Q1017" s="103"/>
      <c r="S1017" s="7"/>
      <c r="T1017" s="7"/>
      <c r="U1017" s="7"/>
      <c r="V1017" s="7"/>
    </row>
    <row r="1018" spans="2:22" ht="12.5">
      <c r="B1018" s="152"/>
      <c r="C1018" s="152"/>
      <c r="D1018" s="152"/>
      <c r="E1018" s="152"/>
      <c r="F1018" s="152"/>
      <c r="G1018" s="152"/>
      <c r="H1018" s="152"/>
      <c r="I1018" s="152"/>
      <c r="J1018" s="152"/>
      <c r="K1018" s="152"/>
      <c r="L1018" s="152"/>
      <c r="M1018" s="152"/>
      <c r="N1018" s="152"/>
      <c r="O1018" s="7"/>
      <c r="P1018" s="197"/>
      <c r="Q1018" s="103"/>
      <c r="S1018" s="7"/>
      <c r="T1018" s="7"/>
      <c r="U1018" s="7"/>
      <c r="V1018" s="7"/>
    </row>
    <row r="1019" spans="2:22" ht="12.5">
      <c r="B1019" s="152"/>
      <c r="C1019" s="152"/>
      <c r="D1019" s="152"/>
      <c r="E1019" s="152"/>
      <c r="F1019" s="152"/>
      <c r="G1019" s="152"/>
      <c r="H1019" s="152"/>
      <c r="I1019" s="152"/>
      <c r="J1019" s="152"/>
      <c r="K1019" s="152"/>
      <c r="L1019" s="152"/>
      <c r="M1019" s="152"/>
      <c r="N1019" s="152"/>
      <c r="O1019" s="7"/>
      <c r="P1019" s="197"/>
      <c r="Q1019" s="103"/>
      <c r="S1019" s="7"/>
      <c r="T1019" s="7"/>
      <c r="U1019" s="7"/>
      <c r="V1019" s="7"/>
    </row>
    <row r="1020" spans="2:22" ht="12.5">
      <c r="B1020" s="152"/>
      <c r="C1020" s="152"/>
      <c r="D1020" s="152"/>
      <c r="E1020" s="152"/>
      <c r="F1020" s="152"/>
      <c r="G1020" s="152"/>
      <c r="H1020" s="152"/>
      <c r="I1020" s="152"/>
      <c r="J1020" s="152"/>
      <c r="K1020" s="152"/>
      <c r="L1020" s="152"/>
      <c r="M1020" s="152"/>
      <c r="N1020" s="152"/>
      <c r="O1020" s="7"/>
      <c r="P1020" s="197"/>
      <c r="Q1020" s="103"/>
      <c r="S1020" s="7"/>
      <c r="T1020" s="7"/>
      <c r="U1020" s="7"/>
      <c r="V1020" s="7"/>
    </row>
    <row r="1021" spans="2:22" ht="12.5">
      <c r="B1021" s="152"/>
      <c r="C1021" s="152"/>
      <c r="D1021" s="152"/>
      <c r="E1021" s="152"/>
      <c r="F1021" s="152"/>
      <c r="G1021" s="152"/>
      <c r="H1021" s="152"/>
      <c r="I1021" s="152"/>
      <c r="J1021" s="152"/>
      <c r="K1021" s="152"/>
      <c r="L1021" s="152"/>
      <c r="M1021" s="152"/>
      <c r="N1021" s="152"/>
      <c r="O1021" s="7"/>
      <c r="P1021" s="197"/>
      <c r="Q1021" s="103"/>
      <c r="S1021" s="7"/>
      <c r="T1021" s="7"/>
      <c r="U1021" s="7"/>
      <c r="V1021" s="7"/>
    </row>
    <row r="1022" spans="2:22" ht="12.5">
      <c r="B1022" s="152"/>
      <c r="C1022" s="152"/>
      <c r="D1022" s="152"/>
      <c r="E1022" s="152"/>
      <c r="F1022" s="152"/>
      <c r="G1022" s="152"/>
      <c r="H1022" s="152"/>
      <c r="I1022" s="152"/>
      <c r="J1022" s="152"/>
      <c r="K1022" s="152"/>
      <c r="L1022" s="152"/>
      <c r="M1022" s="152"/>
      <c r="N1022" s="152"/>
      <c r="O1022" s="7"/>
      <c r="P1022" s="197"/>
      <c r="Q1022" s="103"/>
      <c r="S1022" s="7"/>
      <c r="T1022" s="7"/>
      <c r="U1022" s="7"/>
      <c r="V1022" s="7"/>
    </row>
    <row r="1023" spans="2:22" ht="12.5">
      <c r="B1023" s="152"/>
      <c r="C1023" s="152"/>
      <c r="D1023" s="152"/>
      <c r="E1023" s="152"/>
      <c r="F1023" s="152"/>
      <c r="G1023" s="152"/>
      <c r="H1023" s="152"/>
      <c r="I1023" s="152"/>
      <c r="J1023" s="152"/>
      <c r="K1023" s="152"/>
      <c r="L1023" s="152"/>
      <c r="M1023" s="152"/>
      <c r="N1023" s="152"/>
      <c r="O1023" s="7"/>
      <c r="P1023" s="197"/>
      <c r="Q1023" s="103"/>
      <c r="S1023" s="7"/>
      <c r="T1023" s="7"/>
      <c r="U1023" s="7"/>
      <c r="V1023" s="7"/>
    </row>
    <row r="1024" spans="2:22" ht="12.5">
      <c r="B1024" s="152"/>
      <c r="C1024" s="152"/>
      <c r="D1024" s="152"/>
      <c r="E1024" s="152"/>
      <c r="F1024" s="152"/>
      <c r="G1024" s="152"/>
      <c r="H1024" s="152"/>
      <c r="I1024" s="152"/>
      <c r="J1024" s="152"/>
      <c r="K1024" s="152"/>
      <c r="L1024" s="152"/>
      <c r="M1024" s="152"/>
      <c r="N1024" s="152"/>
      <c r="O1024" s="7"/>
      <c r="P1024" s="197"/>
      <c r="Q1024" s="103"/>
      <c r="S1024" s="7"/>
      <c r="T1024" s="7"/>
      <c r="U1024" s="7"/>
      <c r="V1024" s="7"/>
    </row>
    <row r="1025" spans="2:22" ht="12.5">
      <c r="B1025" s="152"/>
      <c r="C1025" s="152"/>
      <c r="D1025" s="152"/>
      <c r="E1025" s="152"/>
      <c r="F1025" s="152"/>
      <c r="G1025" s="152"/>
      <c r="H1025" s="152"/>
      <c r="I1025" s="152"/>
      <c r="J1025" s="152"/>
      <c r="K1025" s="152"/>
      <c r="L1025" s="152"/>
      <c r="M1025" s="152"/>
      <c r="N1025" s="152"/>
      <c r="O1025" s="7"/>
      <c r="P1025" s="197"/>
      <c r="Q1025" s="103"/>
      <c r="S1025" s="7"/>
      <c r="T1025" s="7"/>
      <c r="U1025" s="7"/>
      <c r="V1025" s="7"/>
    </row>
    <row r="1026" spans="2:22" ht="12.5">
      <c r="B1026" s="152"/>
      <c r="C1026" s="152"/>
      <c r="D1026" s="152"/>
      <c r="E1026" s="152"/>
      <c r="F1026" s="152"/>
      <c r="G1026" s="152"/>
      <c r="H1026" s="152"/>
      <c r="I1026" s="152"/>
      <c r="J1026" s="152"/>
      <c r="K1026" s="152"/>
      <c r="L1026" s="152"/>
      <c r="M1026" s="152"/>
      <c r="N1026" s="152"/>
      <c r="O1026" s="7"/>
      <c r="P1026" s="197"/>
      <c r="Q1026" s="103"/>
      <c r="S1026" s="7"/>
      <c r="T1026" s="7"/>
      <c r="U1026" s="7"/>
      <c r="V1026" s="7"/>
    </row>
    <row r="1027" spans="2:22" ht="12.5">
      <c r="B1027" s="152"/>
      <c r="C1027" s="152"/>
      <c r="D1027" s="152"/>
      <c r="E1027" s="152"/>
      <c r="F1027" s="152"/>
      <c r="G1027" s="152"/>
      <c r="H1027" s="152"/>
      <c r="I1027" s="152"/>
      <c r="J1027" s="152"/>
      <c r="K1027" s="152"/>
      <c r="L1027" s="152"/>
      <c r="M1027" s="152"/>
      <c r="N1027" s="152"/>
      <c r="O1027" s="7"/>
      <c r="P1027" s="197"/>
      <c r="Q1027" s="103"/>
      <c r="S1027" s="7"/>
      <c r="T1027" s="7"/>
      <c r="U1027" s="7"/>
      <c r="V1027" s="7"/>
    </row>
    <row r="1028" spans="2:22" ht="12.5">
      <c r="B1028" s="152"/>
      <c r="C1028" s="152"/>
      <c r="D1028" s="152"/>
      <c r="E1028" s="152"/>
      <c r="F1028" s="152"/>
      <c r="G1028" s="152"/>
      <c r="H1028" s="152"/>
      <c r="I1028" s="152"/>
      <c r="J1028" s="152"/>
      <c r="K1028" s="152"/>
      <c r="L1028" s="152"/>
      <c r="M1028" s="152"/>
      <c r="N1028" s="152"/>
      <c r="O1028" s="7"/>
      <c r="P1028" s="197"/>
      <c r="Q1028" s="103"/>
      <c r="S1028" s="7"/>
      <c r="T1028" s="7"/>
      <c r="U1028" s="7"/>
      <c r="V1028" s="7"/>
    </row>
    <row r="1029" spans="2:22" ht="12.5">
      <c r="B1029" s="152"/>
      <c r="C1029" s="152"/>
      <c r="D1029" s="152"/>
      <c r="E1029" s="152"/>
      <c r="F1029" s="152"/>
      <c r="G1029" s="152"/>
      <c r="H1029" s="152"/>
      <c r="I1029" s="152"/>
      <c r="J1029" s="152"/>
      <c r="K1029" s="152"/>
      <c r="L1029" s="152"/>
      <c r="M1029" s="152"/>
      <c r="N1029" s="152"/>
      <c r="O1029" s="7"/>
      <c r="P1029" s="197"/>
      <c r="Q1029" s="103"/>
      <c r="S1029" s="7"/>
      <c r="T1029" s="7"/>
      <c r="U1029" s="7"/>
      <c r="V1029" s="7"/>
    </row>
    <row r="1030" spans="2:22" ht="12.5">
      <c r="B1030" s="152"/>
      <c r="C1030" s="152"/>
      <c r="D1030" s="152"/>
      <c r="E1030" s="152"/>
      <c r="F1030" s="152"/>
      <c r="G1030" s="152"/>
      <c r="H1030" s="152"/>
      <c r="I1030" s="152"/>
      <c r="J1030" s="152"/>
      <c r="K1030" s="152"/>
      <c r="L1030" s="152"/>
      <c r="M1030" s="152"/>
      <c r="N1030" s="152"/>
      <c r="O1030" s="7"/>
      <c r="P1030" s="197"/>
      <c r="Q1030" s="103"/>
      <c r="S1030" s="7"/>
      <c r="T1030" s="7"/>
      <c r="U1030" s="7"/>
      <c r="V1030" s="7"/>
    </row>
    <row r="1031" spans="2:22" ht="12.5">
      <c r="B1031" s="152"/>
      <c r="C1031" s="152"/>
      <c r="D1031" s="152"/>
      <c r="E1031" s="152"/>
      <c r="F1031" s="152"/>
      <c r="G1031" s="152"/>
      <c r="H1031" s="152"/>
      <c r="I1031" s="152"/>
      <c r="J1031" s="152"/>
      <c r="K1031" s="152"/>
      <c r="L1031" s="152"/>
      <c r="M1031" s="152"/>
      <c r="N1031" s="152"/>
      <c r="O1031" s="7"/>
      <c r="P1031" s="197"/>
      <c r="Q1031" s="103"/>
      <c r="S1031" s="7"/>
      <c r="T1031" s="7"/>
      <c r="U1031" s="7"/>
      <c r="V1031" s="7"/>
    </row>
    <row r="1032" spans="2:22" ht="12.5">
      <c r="B1032" s="152"/>
      <c r="C1032" s="152"/>
      <c r="D1032" s="152"/>
      <c r="E1032" s="152"/>
      <c r="F1032" s="152"/>
      <c r="G1032" s="152"/>
      <c r="H1032" s="152"/>
      <c r="I1032" s="152"/>
      <c r="J1032" s="152"/>
      <c r="K1032" s="152"/>
      <c r="L1032" s="152"/>
      <c r="M1032" s="152"/>
      <c r="N1032" s="152"/>
      <c r="O1032" s="7"/>
      <c r="P1032" s="197"/>
      <c r="Q1032" s="103"/>
      <c r="S1032" s="7"/>
      <c r="T1032" s="7"/>
      <c r="U1032" s="7"/>
      <c r="V1032" s="7"/>
    </row>
    <row r="1033" spans="2:22" ht="12.5">
      <c r="B1033" s="152"/>
      <c r="C1033" s="152"/>
      <c r="D1033" s="152"/>
      <c r="E1033" s="152"/>
      <c r="F1033" s="152"/>
      <c r="G1033" s="152"/>
      <c r="H1033" s="152"/>
      <c r="I1033" s="152"/>
      <c r="J1033" s="152"/>
      <c r="K1033" s="152"/>
      <c r="L1033" s="152"/>
      <c r="M1033" s="152"/>
      <c r="N1033" s="152"/>
      <c r="O1033" s="7"/>
      <c r="P1033" s="197"/>
      <c r="Q1033" s="103"/>
      <c r="S1033" s="7"/>
      <c r="T1033" s="7"/>
      <c r="U1033" s="7"/>
      <c r="V1033" s="7"/>
    </row>
    <row r="1034" spans="2:22" ht="12.5">
      <c r="B1034" s="152"/>
      <c r="C1034" s="152"/>
      <c r="D1034" s="152"/>
      <c r="E1034" s="152"/>
      <c r="F1034" s="152"/>
      <c r="G1034" s="152"/>
      <c r="H1034" s="152"/>
      <c r="I1034" s="152"/>
      <c r="J1034" s="152"/>
      <c r="K1034" s="152"/>
      <c r="L1034" s="152"/>
      <c r="M1034" s="152"/>
      <c r="N1034" s="152"/>
      <c r="O1034" s="7"/>
      <c r="P1034" s="197"/>
      <c r="Q1034" s="103"/>
      <c r="S1034" s="7"/>
      <c r="T1034" s="7"/>
      <c r="U1034" s="7"/>
      <c r="V1034" s="7"/>
    </row>
    <row r="1035" spans="2:22" ht="12.5">
      <c r="B1035" s="152"/>
      <c r="C1035" s="152"/>
      <c r="D1035" s="152"/>
      <c r="E1035" s="152"/>
      <c r="F1035" s="152"/>
      <c r="G1035" s="152"/>
      <c r="H1035" s="152"/>
      <c r="I1035" s="152"/>
      <c r="J1035" s="152"/>
      <c r="K1035" s="152"/>
      <c r="L1035" s="152"/>
      <c r="M1035" s="152"/>
      <c r="N1035" s="152"/>
      <c r="O1035" s="7"/>
      <c r="P1035" s="197"/>
      <c r="Q1035" s="103"/>
      <c r="S1035" s="7"/>
      <c r="T1035" s="7"/>
      <c r="U1035" s="7"/>
      <c r="V1035" s="7"/>
    </row>
    <row r="1036" spans="2:22" ht="12.5">
      <c r="B1036" s="152"/>
      <c r="C1036" s="152"/>
      <c r="D1036" s="152"/>
      <c r="E1036" s="152"/>
      <c r="F1036" s="152"/>
      <c r="G1036" s="152"/>
      <c r="H1036" s="152"/>
      <c r="I1036" s="152"/>
      <c r="J1036" s="152"/>
      <c r="K1036" s="152"/>
      <c r="L1036" s="152"/>
      <c r="M1036" s="152"/>
      <c r="N1036" s="152"/>
      <c r="O1036" s="7"/>
      <c r="P1036" s="197"/>
      <c r="Q1036" s="103"/>
      <c r="S1036" s="7"/>
      <c r="T1036" s="7"/>
      <c r="U1036" s="7"/>
      <c r="V1036" s="7"/>
    </row>
    <row r="1037" spans="2:22" ht="12.5">
      <c r="B1037" s="152"/>
      <c r="C1037" s="152"/>
      <c r="D1037" s="152"/>
      <c r="E1037" s="152"/>
      <c r="F1037" s="152"/>
      <c r="G1037" s="152"/>
      <c r="H1037" s="152"/>
      <c r="I1037" s="152"/>
      <c r="J1037" s="152"/>
      <c r="K1037" s="152"/>
      <c r="L1037" s="152"/>
      <c r="M1037" s="152"/>
      <c r="N1037" s="152"/>
      <c r="O1037" s="7"/>
      <c r="P1037" s="197"/>
      <c r="Q1037" s="103"/>
      <c r="S1037" s="7"/>
      <c r="T1037" s="7"/>
      <c r="U1037" s="7"/>
      <c r="V1037" s="7"/>
    </row>
    <row r="1038" spans="2:22" ht="12.5">
      <c r="B1038" s="152"/>
      <c r="C1038" s="152"/>
      <c r="D1038" s="152"/>
      <c r="E1038" s="152"/>
      <c r="F1038" s="152"/>
      <c r="G1038" s="152"/>
      <c r="H1038" s="152"/>
      <c r="I1038" s="152"/>
      <c r="J1038" s="152"/>
      <c r="K1038" s="152"/>
      <c r="L1038" s="152"/>
      <c r="M1038" s="152"/>
      <c r="N1038" s="152"/>
      <c r="O1038" s="7"/>
      <c r="P1038" s="197"/>
      <c r="Q1038" s="103"/>
      <c r="S1038" s="7"/>
      <c r="T1038" s="7"/>
      <c r="U1038" s="7"/>
      <c r="V1038" s="7"/>
    </row>
    <row r="1039" spans="2:22" ht="12.5">
      <c r="B1039" s="152"/>
      <c r="C1039" s="152"/>
      <c r="D1039" s="152"/>
      <c r="E1039" s="152"/>
      <c r="F1039" s="152"/>
      <c r="G1039" s="152"/>
      <c r="H1039" s="152"/>
      <c r="I1039" s="152"/>
      <c r="J1039" s="152"/>
      <c r="K1039" s="152"/>
      <c r="L1039" s="152"/>
      <c r="M1039" s="152"/>
      <c r="N1039" s="152"/>
      <c r="O1039" s="7"/>
      <c r="P1039" s="197"/>
      <c r="Q1039" s="103"/>
      <c r="S1039" s="7"/>
      <c r="T1039" s="7"/>
      <c r="U1039" s="7"/>
      <c r="V1039" s="7"/>
    </row>
    <row r="1040" spans="2:22" ht="12.5">
      <c r="B1040" s="152"/>
      <c r="C1040" s="152"/>
      <c r="D1040" s="152"/>
      <c r="E1040" s="152"/>
      <c r="F1040" s="152"/>
      <c r="G1040" s="152"/>
      <c r="H1040" s="152"/>
      <c r="I1040" s="152"/>
      <c r="J1040" s="152"/>
      <c r="K1040" s="152"/>
      <c r="L1040" s="152"/>
      <c r="M1040" s="152"/>
      <c r="N1040" s="152"/>
      <c r="O1040" s="7"/>
      <c r="P1040" s="197"/>
      <c r="Q1040" s="103"/>
      <c r="S1040" s="7"/>
      <c r="T1040" s="7"/>
      <c r="U1040" s="7"/>
      <c r="V1040" s="7"/>
    </row>
    <row r="1041" spans="2:22" ht="12.5">
      <c r="B1041" s="152"/>
      <c r="C1041" s="152"/>
      <c r="D1041" s="152"/>
      <c r="E1041" s="152"/>
      <c r="F1041" s="152"/>
      <c r="G1041" s="152"/>
      <c r="H1041" s="152"/>
      <c r="I1041" s="152"/>
      <c r="J1041" s="152"/>
      <c r="K1041" s="152"/>
      <c r="L1041" s="152"/>
      <c r="M1041" s="152"/>
      <c r="N1041" s="152"/>
      <c r="O1041" s="7"/>
      <c r="P1041" s="197"/>
      <c r="Q1041" s="103"/>
      <c r="S1041" s="7"/>
      <c r="T1041" s="7"/>
      <c r="U1041" s="7"/>
      <c r="V1041" s="7"/>
    </row>
    <row r="1042" spans="2:22" ht="12.5">
      <c r="B1042" s="152"/>
      <c r="C1042" s="152"/>
      <c r="D1042" s="152"/>
      <c r="E1042" s="152"/>
      <c r="F1042" s="152"/>
      <c r="G1042" s="152"/>
      <c r="H1042" s="152"/>
      <c r="I1042" s="152"/>
      <c r="J1042" s="152"/>
      <c r="K1042" s="152"/>
      <c r="L1042" s="152"/>
      <c r="M1042" s="152"/>
      <c r="N1042" s="152"/>
      <c r="O1042" s="7"/>
      <c r="P1042" s="197"/>
      <c r="Q1042" s="103"/>
      <c r="S1042" s="7"/>
      <c r="T1042" s="7"/>
      <c r="U1042" s="7"/>
      <c r="V1042" s="7"/>
    </row>
    <row r="1043" spans="2:22" ht="12.5">
      <c r="B1043" s="152"/>
      <c r="C1043" s="152"/>
      <c r="D1043" s="152"/>
      <c r="E1043" s="152"/>
      <c r="F1043" s="152"/>
      <c r="G1043" s="152"/>
      <c r="H1043" s="152"/>
      <c r="I1043" s="152"/>
      <c r="J1043" s="152"/>
      <c r="K1043" s="152"/>
      <c r="L1043" s="152"/>
      <c r="M1043" s="152"/>
      <c r="N1043" s="152"/>
      <c r="O1043" s="7"/>
      <c r="P1043" s="197"/>
      <c r="Q1043" s="103"/>
      <c r="S1043" s="7"/>
      <c r="T1043" s="7"/>
      <c r="U1043" s="7"/>
      <c r="V1043" s="7"/>
    </row>
    <row r="1044" spans="2:22" ht="12.5">
      <c r="B1044" s="152"/>
      <c r="C1044" s="152"/>
      <c r="D1044" s="152"/>
      <c r="E1044" s="152"/>
      <c r="F1044" s="152"/>
      <c r="G1044" s="152"/>
      <c r="H1044" s="152"/>
      <c r="I1044" s="152"/>
      <c r="J1044" s="152"/>
      <c r="K1044" s="152"/>
      <c r="L1044" s="152"/>
      <c r="M1044" s="152"/>
      <c r="N1044" s="152"/>
      <c r="O1044" s="7"/>
      <c r="P1044" s="197"/>
      <c r="Q1044" s="103"/>
      <c r="S1044" s="7"/>
      <c r="T1044" s="7"/>
      <c r="U1044" s="7"/>
      <c r="V1044" s="7"/>
    </row>
    <row r="1045" spans="2:22" ht="12.5">
      <c r="B1045" s="152"/>
      <c r="C1045" s="152"/>
      <c r="D1045" s="152"/>
      <c r="E1045" s="152"/>
      <c r="F1045" s="152"/>
      <c r="G1045" s="152"/>
      <c r="H1045" s="152"/>
      <c r="I1045" s="152"/>
      <c r="J1045" s="152"/>
      <c r="K1045" s="152"/>
      <c r="L1045" s="152"/>
      <c r="M1045" s="152"/>
      <c r="N1045" s="152"/>
      <c r="O1045" s="7"/>
      <c r="P1045" s="197"/>
      <c r="Q1045" s="103"/>
      <c r="S1045" s="7"/>
      <c r="T1045" s="7"/>
      <c r="U1045" s="7"/>
      <c r="V1045" s="7"/>
    </row>
    <row r="1046" spans="2:22" ht="12.5">
      <c r="B1046" s="152"/>
      <c r="C1046" s="152"/>
      <c r="D1046" s="152"/>
      <c r="E1046" s="152"/>
      <c r="F1046" s="152"/>
      <c r="G1046" s="152"/>
      <c r="H1046" s="152"/>
      <c r="I1046" s="152"/>
      <c r="J1046" s="152"/>
      <c r="K1046" s="152"/>
      <c r="L1046" s="152"/>
      <c r="M1046" s="152"/>
      <c r="N1046" s="152"/>
      <c r="O1046" s="7"/>
      <c r="P1046" s="197"/>
      <c r="Q1046" s="103"/>
      <c r="S1046" s="7"/>
      <c r="T1046" s="7"/>
      <c r="U1046" s="7"/>
      <c r="V1046" s="7"/>
    </row>
    <row r="1047" spans="2:22" ht="12.5">
      <c r="B1047" s="152"/>
      <c r="C1047" s="152"/>
      <c r="D1047" s="152"/>
      <c r="E1047" s="152"/>
      <c r="F1047" s="152"/>
      <c r="G1047" s="152"/>
      <c r="H1047" s="152"/>
      <c r="I1047" s="152"/>
      <c r="J1047" s="152"/>
      <c r="K1047" s="152"/>
      <c r="L1047" s="152"/>
      <c r="M1047" s="152"/>
      <c r="N1047" s="152"/>
      <c r="O1047" s="7"/>
      <c r="P1047" s="197"/>
      <c r="Q1047" s="103"/>
      <c r="S1047" s="7"/>
      <c r="T1047" s="7"/>
      <c r="U1047" s="7"/>
      <c r="V1047" s="7"/>
    </row>
    <row r="1048" spans="2:22" ht="12.5">
      <c r="B1048" s="152"/>
      <c r="C1048" s="152"/>
      <c r="D1048" s="152"/>
      <c r="E1048" s="152"/>
      <c r="F1048" s="152"/>
      <c r="G1048" s="152"/>
      <c r="H1048" s="152"/>
      <c r="I1048" s="152"/>
      <c r="J1048" s="152"/>
      <c r="K1048" s="152"/>
      <c r="L1048" s="152"/>
      <c r="M1048" s="152"/>
      <c r="N1048" s="152"/>
      <c r="O1048" s="7"/>
      <c r="P1048" s="197"/>
      <c r="Q1048" s="103"/>
      <c r="S1048" s="7"/>
      <c r="T1048" s="7"/>
      <c r="U1048" s="7"/>
      <c r="V1048" s="7"/>
    </row>
    <row r="1049" spans="2:22" ht="12.5">
      <c r="B1049" s="152"/>
      <c r="C1049" s="152"/>
      <c r="D1049" s="152"/>
      <c r="E1049" s="152"/>
      <c r="F1049" s="152"/>
      <c r="G1049" s="152"/>
      <c r="H1049" s="152"/>
      <c r="I1049" s="152"/>
      <c r="J1049" s="152"/>
      <c r="K1049" s="152"/>
      <c r="L1049" s="152"/>
      <c r="M1049" s="152"/>
      <c r="N1049" s="152"/>
      <c r="O1049" s="7"/>
      <c r="P1049" s="197"/>
      <c r="Q1049" s="103"/>
      <c r="S1049" s="7"/>
      <c r="T1049" s="7"/>
      <c r="U1049" s="7"/>
      <c r="V1049" s="7"/>
    </row>
    <row r="1050" spans="2:22" ht="12.5">
      <c r="B1050" s="152"/>
      <c r="C1050" s="152"/>
      <c r="D1050" s="152"/>
      <c r="E1050" s="152"/>
      <c r="F1050" s="152"/>
      <c r="G1050" s="152"/>
      <c r="H1050" s="152"/>
      <c r="I1050" s="152"/>
      <c r="J1050" s="152"/>
      <c r="K1050" s="152"/>
      <c r="L1050" s="152"/>
      <c r="M1050" s="152"/>
      <c r="N1050" s="152"/>
      <c r="O1050" s="7"/>
      <c r="P1050" s="197"/>
      <c r="Q1050" s="103"/>
      <c r="S1050" s="7"/>
      <c r="T1050" s="7"/>
      <c r="U1050" s="7"/>
      <c r="V1050" s="7"/>
    </row>
    <row r="1051" spans="2:22" ht="12.5">
      <c r="B1051" s="152"/>
      <c r="C1051" s="152"/>
      <c r="D1051" s="152"/>
      <c r="E1051" s="152"/>
      <c r="F1051" s="152"/>
      <c r="G1051" s="152"/>
      <c r="H1051" s="152"/>
      <c r="I1051" s="152"/>
      <c r="J1051" s="152"/>
      <c r="K1051" s="152"/>
      <c r="L1051" s="152"/>
      <c r="M1051" s="152"/>
      <c r="N1051" s="152"/>
      <c r="O1051" s="7"/>
      <c r="P1051" s="197"/>
      <c r="Q1051" s="103"/>
      <c r="S1051" s="7"/>
      <c r="T1051" s="7"/>
      <c r="U1051" s="7"/>
      <c r="V1051" s="7"/>
    </row>
    <row r="1052" spans="2:22" ht="12.5">
      <c r="B1052" s="152"/>
      <c r="C1052" s="152"/>
      <c r="D1052" s="152"/>
      <c r="E1052" s="152"/>
      <c r="F1052" s="152"/>
      <c r="G1052" s="152"/>
      <c r="H1052" s="152"/>
      <c r="I1052" s="152"/>
      <c r="J1052" s="152"/>
      <c r="K1052" s="152"/>
      <c r="L1052" s="152"/>
      <c r="M1052" s="152"/>
      <c r="N1052" s="152"/>
      <c r="O1052" s="7"/>
      <c r="P1052" s="197"/>
      <c r="Q1052" s="103"/>
      <c r="S1052" s="7"/>
      <c r="T1052" s="7"/>
      <c r="U1052" s="7"/>
      <c r="V1052" s="7"/>
    </row>
    <row r="1053" spans="2:22" ht="12.5">
      <c r="B1053" s="152"/>
      <c r="C1053" s="152"/>
      <c r="D1053" s="152"/>
      <c r="E1053" s="152"/>
      <c r="F1053" s="152"/>
      <c r="G1053" s="152"/>
      <c r="H1053" s="152"/>
      <c r="I1053" s="152"/>
      <c r="J1053" s="152"/>
      <c r="K1053" s="152"/>
      <c r="L1053" s="152"/>
      <c r="M1053" s="152"/>
      <c r="N1053" s="152"/>
      <c r="O1053" s="7"/>
      <c r="P1053" s="197"/>
      <c r="Q1053" s="103"/>
      <c r="S1053" s="7"/>
      <c r="T1053" s="7"/>
      <c r="U1053" s="7"/>
      <c r="V1053" s="7"/>
    </row>
    <row r="1054" spans="2:22" ht="12.5">
      <c r="B1054" s="152"/>
      <c r="C1054" s="152"/>
      <c r="D1054" s="152"/>
      <c r="E1054" s="152"/>
      <c r="F1054" s="152"/>
      <c r="G1054" s="152"/>
      <c r="H1054" s="152"/>
      <c r="I1054" s="152"/>
      <c r="J1054" s="152"/>
      <c r="K1054" s="152"/>
      <c r="L1054" s="152"/>
      <c r="M1054" s="152"/>
      <c r="N1054" s="152"/>
      <c r="O1054" s="7"/>
      <c r="P1054" s="197"/>
      <c r="Q1054" s="103"/>
      <c r="S1054" s="7"/>
      <c r="T1054" s="7"/>
      <c r="U1054" s="7"/>
      <c r="V1054" s="7"/>
    </row>
    <row r="1055" spans="2:22" ht="12.5">
      <c r="B1055" s="152"/>
      <c r="C1055" s="152"/>
      <c r="D1055" s="152"/>
      <c r="E1055" s="152"/>
      <c r="F1055" s="152"/>
      <c r="G1055" s="152"/>
      <c r="H1055" s="152"/>
      <c r="I1055" s="152"/>
      <c r="J1055" s="152"/>
      <c r="K1055" s="152"/>
      <c r="L1055" s="152"/>
      <c r="M1055" s="152"/>
      <c r="N1055" s="152"/>
      <c r="O1055" s="7"/>
      <c r="P1055" s="197"/>
      <c r="Q1055" s="103"/>
      <c r="S1055" s="7"/>
      <c r="T1055" s="7"/>
      <c r="U1055" s="7"/>
      <c r="V1055" s="7"/>
    </row>
    <row r="1056" spans="2:22" ht="12.5">
      <c r="B1056" s="152"/>
      <c r="C1056" s="152"/>
      <c r="D1056" s="152"/>
      <c r="E1056" s="152"/>
      <c r="F1056" s="152"/>
      <c r="G1056" s="152"/>
      <c r="H1056" s="152"/>
      <c r="I1056" s="152"/>
      <c r="J1056" s="152"/>
      <c r="K1056" s="152"/>
      <c r="L1056" s="152"/>
      <c r="M1056" s="152"/>
      <c r="N1056" s="152"/>
      <c r="O1056" s="7"/>
      <c r="P1056" s="197"/>
      <c r="Q1056" s="103"/>
      <c r="S1056" s="7"/>
      <c r="T1056" s="7"/>
      <c r="U1056" s="7"/>
      <c r="V1056" s="7"/>
    </row>
    <row r="1057" spans="2:22" ht="12.5">
      <c r="B1057" s="152"/>
      <c r="C1057" s="152"/>
      <c r="D1057" s="152"/>
      <c r="E1057" s="152"/>
      <c r="F1057" s="152"/>
      <c r="G1057" s="152"/>
      <c r="H1057" s="152"/>
      <c r="I1057" s="152"/>
      <c r="J1057" s="152"/>
      <c r="K1057" s="152"/>
      <c r="L1057" s="152"/>
      <c r="M1057" s="152"/>
      <c r="N1057" s="152"/>
      <c r="O1057" s="7"/>
      <c r="P1057" s="197"/>
      <c r="Q1057" s="103"/>
      <c r="S1057" s="7"/>
      <c r="T1057" s="7"/>
      <c r="U1057" s="7"/>
      <c r="V1057" s="7"/>
    </row>
    <row r="1058" spans="2:22" ht="12.5">
      <c r="B1058" s="152"/>
      <c r="C1058" s="152"/>
      <c r="D1058" s="152"/>
      <c r="E1058" s="152"/>
      <c r="F1058" s="152"/>
      <c r="G1058" s="152"/>
      <c r="H1058" s="152"/>
      <c r="I1058" s="152"/>
      <c r="J1058" s="152"/>
      <c r="K1058" s="152"/>
      <c r="L1058" s="152"/>
      <c r="M1058" s="152"/>
      <c r="N1058" s="152"/>
      <c r="O1058" s="7"/>
      <c r="P1058" s="197"/>
      <c r="Q1058" s="103"/>
      <c r="S1058" s="7"/>
      <c r="T1058" s="7"/>
      <c r="U1058" s="7"/>
      <c r="V1058" s="7"/>
    </row>
    <row r="1059" spans="2:22" ht="12.5">
      <c r="B1059" s="152"/>
      <c r="C1059" s="152"/>
      <c r="D1059" s="152"/>
      <c r="E1059" s="152"/>
      <c r="F1059" s="152"/>
      <c r="G1059" s="152"/>
      <c r="H1059" s="152"/>
      <c r="I1059" s="152"/>
      <c r="J1059" s="152"/>
      <c r="K1059" s="152"/>
      <c r="L1059" s="152"/>
      <c r="M1059" s="152"/>
      <c r="N1059" s="152"/>
      <c r="O1059" s="7"/>
      <c r="P1059" s="197"/>
      <c r="Q1059" s="103"/>
      <c r="S1059" s="7"/>
      <c r="T1059" s="7"/>
      <c r="U1059" s="7"/>
      <c r="V1059" s="7"/>
    </row>
    <row r="1060" spans="2:22" ht="12.5">
      <c r="B1060" s="152"/>
      <c r="C1060" s="152"/>
      <c r="D1060" s="152"/>
      <c r="E1060" s="152"/>
      <c r="F1060" s="152"/>
      <c r="G1060" s="152"/>
      <c r="H1060" s="152"/>
      <c r="I1060" s="152"/>
      <c r="J1060" s="152"/>
      <c r="K1060" s="152"/>
      <c r="L1060" s="152"/>
      <c r="M1060" s="152"/>
      <c r="N1060" s="152"/>
      <c r="O1060" s="7"/>
      <c r="P1060" s="197"/>
      <c r="Q1060" s="103"/>
      <c r="S1060" s="7"/>
      <c r="T1060" s="7"/>
      <c r="U1060" s="7"/>
      <c r="V1060" s="7"/>
    </row>
    <row r="1061" spans="2:22" ht="12.5">
      <c r="B1061" s="152"/>
      <c r="C1061" s="152"/>
      <c r="D1061" s="152"/>
      <c r="E1061" s="152"/>
      <c r="F1061" s="152"/>
      <c r="G1061" s="152"/>
      <c r="H1061" s="152"/>
      <c r="I1061" s="152"/>
      <c r="J1061" s="152"/>
      <c r="K1061" s="152"/>
      <c r="L1061" s="152"/>
      <c r="M1061" s="152"/>
      <c r="N1061" s="152"/>
      <c r="O1061" s="7"/>
      <c r="P1061" s="197"/>
      <c r="Q1061" s="103"/>
      <c r="S1061" s="7"/>
      <c r="T1061" s="7"/>
      <c r="U1061" s="7"/>
      <c r="V1061" s="7"/>
    </row>
    <row r="1062" spans="2:22" ht="12.5">
      <c r="B1062" s="152"/>
      <c r="C1062" s="152"/>
      <c r="D1062" s="152"/>
      <c r="E1062" s="152"/>
      <c r="F1062" s="152"/>
      <c r="G1062" s="152"/>
      <c r="H1062" s="152"/>
      <c r="I1062" s="152"/>
      <c r="J1062" s="152"/>
      <c r="K1062" s="152"/>
      <c r="L1062" s="152"/>
      <c r="M1062" s="152"/>
      <c r="N1062" s="152"/>
      <c r="O1062" s="7"/>
      <c r="P1062" s="197"/>
      <c r="Q1062" s="103"/>
      <c r="S1062" s="7"/>
      <c r="T1062" s="7"/>
      <c r="U1062" s="7"/>
      <c r="V1062" s="7"/>
    </row>
    <row r="1063" spans="2:22" ht="12.5">
      <c r="B1063" s="152"/>
      <c r="C1063" s="152"/>
      <c r="D1063" s="152"/>
      <c r="E1063" s="152"/>
      <c r="F1063" s="152"/>
      <c r="G1063" s="152"/>
      <c r="H1063" s="152"/>
      <c r="I1063" s="152"/>
      <c r="J1063" s="152"/>
      <c r="K1063" s="152"/>
      <c r="L1063" s="152"/>
      <c r="M1063" s="152"/>
      <c r="N1063" s="152"/>
      <c r="O1063" s="7"/>
      <c r="P1063" s="197"/>
      <c r="Q1063" s="103"/>
      <c r="S1063" s="7"/>
      <c r="T1063" s="7"/>
      <c r="U1063" s="7"/>
      <c r="V1063" s="7"/>
    </row>
    <row r="1064" spans="2:22" ht="12.5">
      <c r="B1064" s="152"/>
      <c r="C1064" s="152"/>
      <c r="D1064" s="152"/>
      <c r="E1064" s="152"/>
      <c r="F1064" s="152"/>
      <c r="G1064" s="152"/>
      <c r="H1064" s="152"/>
      <c r="I1064" s="152"/>
      <c r="J1064" s="152"/>
      <c r="K1064" s="152"/>
      <c r="L1064" s="152"/>
      <c r="M1064" s="152"/>
      <c r="N1064" s="152"/>
      <c r="O1064" s="7"/>
      <c r="P1064" s="197"/>
      <c r="Q1064" s="103"/>
      <c r="S1064" s="7"/>
      <c r="T1064" s="7"/>
      <c r="U1064" s="7"/>
      <c r="V1064" s="7"/>
    </row>
    <row r="1065" spans="2:22" ht="12.5">
      <c r="B1065" s="152"/>
      <c r="C1065" s="152"/>
      <c r="D1065" s="152"/>
      <c r="E1065" s="152"/>
      <c r="F1065" s="152"/>
      <c r="G1065" s="152"/>
      <c r="H1065" s="152"/>
      <c r="I1065" s="152"/>
      <c r="J1065" s="152"/>
      <c r="K1065" s="152"/>
      <c r="L1065" s="152"/>
      <c r="M1065" s="152"/>
      <c r="N1065" s="152"/>
      <c r="O1065" s="7"/>
      <c r="P1065" s="197"/>
      <c r="Q1065" s="103"/>
      <c r="S1065" s="7"/>
      <c r="T1065" s="7"/>
      <c r="U1065" s="7"/>
      <c r="V1065" s="7"/>
    </row>
    <row r="1066" spans="2:22" ht="12.5">
      <c r="B1066" s="152"/>
      <c r="C1066" s="152"/>
      <c r="D1066" s="152"/>
      <c r="E1066" s="152"/>
      <c r="F1066" s="152"/>
      <c r="G1066" s="152"/>
      <c r="H1066" s="152"/>
      <c r="I1066" s="152"/>
      <c r="J1066" s="152"/>
      <c r="K1066" s="152"/>
      <c r="L1066" s="152"/>
      <c r="M1066" s="152"/>
      <c r="N1066" s="152"/>
      <c r="O1066" s="7"/>
      <c r="P1066" s="197"/>
      <c r="Q1066" s="103"/>
      <c r="S1066" s="7"/>
      <c r="T1066" s="7"/>
      <c r="U1066" s="7"/>
      <c r="V1066" s="7"/>
    </row>
    <row r="1067" spans="2:22" ht="12.5">
      <c r="B1067" s="152"/>
      <c r="C1067" s="152"/>
      <c r="D1067" s="152"/>
      <c r="E1067" s="152"/>
      <c r="F1067" s="152"/>
      <c r="G1067" s="152"/>
      <c r="H1067" s="152"/>
      <c r="I1067" s="152"/>
      <c r="J1067" s="152"/>
      <c r="K1067" s="152"/>
      <c r="L1067" s="152"/>
      <c r="M1067" s="152"/>
      <c r="N1067" s="152"/>
      <c r="O1067" s="7"/>
      <c r="P1067" s="197"/>
      <c r="Q1067" s="103"/>
      <c r="S1067" s="7"/>
      <c r="T1067" s="7"/>
      <c r="U1067" s="7"/>
      <c r="V1067" s="7"/>
    </row>
    <row r="1068" spans="2:22" ht="12.5">
      <c r="B1068" s="152"/>
      <c r="C1068" s="152"/>
      <c r="D1068" s="152"/>
      <c r="E1068" s="152"/>
      <c r="F1068" s="152"/>
      <c r="G1068" s="152"/>
      <c r="H1068" s="152"/>
      <c r="I1068" s="152"/>
      <c r="J1068" s="152"/>
      <c r="K1068" s="152"/>
      <c r="L1068" s="152"/>
      <c r="M1068" s="152"/>
      <c r="N1068" s="152"/>
      <c r="O1068" s="7"/>
      <c r="P1068" s="197"/>
      <c r="Q1068" s="103"/>
      <c r="S1068" s="7"/>
      <c r="T1068" s="7"/>
      <c r="U1068" s="7"/>
      <c r="V1068" s="7"/>
    </row>
    <row r="1069" spans="2:22" ht="12.5">
      <c r="B1069" s="152"/>
      <c r="C1069" s="152"/>
      <c r="D1069" s="152"/>
      <c r="E1069" s="152"/>
      <c r="F1069" s="152"/>
      <c r="G1069" s="152"/>
      <c r="H1069" s="152"/>
      <c r="I1069" s="152"/>
      <c r="J1069" s="152"/>
      <c r="K1069" s="152"/>
      <c r="L1069" s="152"/>
      <c r="M1069" s="152"/>
      <c r="N1069" s="152"/>
      <c r="O1069" s="7"/>
      <c r="P1069" s="197"/>
      <c r="Q1069" s="103"/>
      <c r="S1069" s="7"/>
      <c r="T1069" s="7"/>
      <c r="U1069" s="7"/>
      <c r="V1069" s="7"/>
    </row>
    <row r="1070" spans="2:22" ht="12.5">
      <c r="B1070" s="152"/>
      <c r="C1070" s="152"/>
      <c r="D1070" s="152"/>
      <c r="E1070" s="152"/>
      <c r="F1070" s="152"/>
      <c r="G1070" s="152"/>
      <c r="H1070" s="152"/>
      <c r="I1070" s="152"/>
      <c r="J1070" s="152"/>
      <c r="K1070" s="152"/>
      <c r="L1070" s="152"/>
      <c r="M1070" s="152"/>
      <c r="N1070" s="152"/>
      <c r="O1070" s="7"/>
      <c r="P1070" s="197"/>
      <c r="Q1070" s="103"/>
      <c r="S1070" s="7"/>
      <c r="T1070" s="7"/>
      <c r="U1070" s="7"/>
      <c r="V1070" s="7"/>
    </row>
    <row r="1071" spans="2:22" ht="12.5">
      <c r="B1071" s="152"/>
      <c r="C1071" s="152"/>
      <c r="D1071" s="152"/>
      <c r="E1071" s="152"/>
      <c r="F1071" s="152"/>
      <c r="G1071" s="152"/>
      <c r="H1071" s="152"/>
      <c r="I1071" s="152"/>
      <c r="J1071" s="152"/>
      <c r="K1071" s="152"/>
      <c r="L1071" s="152"/>
      <c r="M1071" s="152"/>
      <c r="N1071" s="152"/>
      <c r="O1071" s="7"/>
      <c r="P1071" s="197"/>
      <c r="Q1071" s="103"/>
      <c r="S1071" s="7"/>
      <c r="T1071" s="7"/>
      <c r="U1071" s="7"/>
      <c r="V1071" s="7"/>
    </row>
    <row r="1072" spans="2:22" ht="12.5">
      <c r="B1072" s="152"/>
      <c r="C1072" s="152"/>
      <c r="D1072" s="152"/>
      <c r="E1072" s="152"/>
      <c r="F1072" s="152"/>
      <c r="G1072" s="152"/>
      <c r="H1072" s="152"/>
      <c r="I1072" s="152"/>
      <c r="J1072" s="152"/>
      <c r="K1072" s="152"/>
      <c r="L1072" s="152"/>
      <c r="M1072" s="152"/>
      <c r="N1072" s="152"/>
      <c r="O1072" s="7"/>
      <c r="P1072" s="197"/>
      <c r="Q1072" s="103"/>
      <c r="S1072" s="7"/>
      <c r="T1072" s="7"/>
      <c r="U1072" s="7"/>
      <c r="V1072" s="7"/>
    </row>
    <row r="1073" spans="2:22" ht="12.5">
      <c r="B1073" s="152"/>
      <c r="C1073" s="152"/>
      <c r="D1073" s="152"/>
      <c r="E1073" s="152"/>
      <c r="F1073" s="152"/>
      <c r="G1073" s="152"/>
      <c r="H1073" s="152"/>
      <c r="I1073" s="152"/>
      <c r="J1073" s="152"/>
      <c r="K1073" s="152"/>
      <c r="L1073" s="152"/>
      <c r="M1073" s="152"/>
      <c r="N1073" s="152"/>
      <c r="O1073" s="7"/>
      <c r="P1073" s="197"/>
      <c r="Q1073" s="103"/>
      <c r="S1073" s="7"/>
      <c r="T1073" s="7"/>
      <c r="U1073" s="7"/>
      <c r="V1073" s="7"/>
    </row>
    <row r="1074" spans="2:22" ht="12.5">
      <c r="B1074" s="152"/>
      <c r="C1074" s="152"/>
      <c r="D1074" s="152"/>
      <c r="E1074" s="152"/>
      <c r="F1074" s="152"/>
      <c r="G1074" s="152"/>
      <c r="H1074" s="152"/>
      <c r="I1074" s="152"/>
      <c r="J1074" s="152"/>
      <c r="K1074" s="152"/>
      <c r="L1074" s="152"/>
      <c r="M1074" s="152"/>
      <c r="N1074" s="152"/>
      <c r="O1074" s="7"/>
      <c r="P1074" s="197"/>
      <c r="Q1074" s="103"/>
      <c r="S1074" s="7"/>
      <c r="T1074" s="7"/>
      <c r="U1074" s="7"/>
      <c r="V1074" s="7"/>
    </row>
    <row r="1075" spans="2:22" ht="12.5">
      <c r="B1075" s="152"/>
      <c r="C1075" s="152"/>
      <c r="D1075" s="152"/>
      <c r="E1075" s="152"/>
      <c r="F1075" s="152"/>
      <c r="G1075" s="152"/>
      <c r="H1075" s="152"/>
      <c r="I1075" s="152"/>
      <c r="J1075" s="152"/>
      <c r="K1075" s="152"/>
      <c r="L1075" s="152"/>
      <c r="M1075" s="152"/>
      <c r="N1075" s="152"/>
      <c r="O1075" s="7"/>
      <c r="P1075" s="197"/>
      <c r="Q1075" s="103"/>
      <c r="S1075" s="7"/>
      <c r="T1075" s="7"/>
      <c r="U1075" s="7"/>
      <c r="V1075" s="7"/>
    </row>
    <row r="1076" spans="2:22" ht="12.5">
      <c r="B1076" s="152"/>
      <c r="C1076" s="152"/>
      <c r="D1076" s="152"/>
      <c r="E1076" s="152"/>
      <c r="F1076" s="152"/>
      <c r="G1076" s="152"/>
      <c r="H1076" s="152"/>
      <c r="I1076" s="152"/>
      <c r="J1076" s="152"/>
      <c r="K1076" s="152"/>
      <c r="L1076" s="152"/>
      <c r="M1076" s="152"/>
      <c r="N1076" s="152"/>
      <c r="O1076" s="7"/>
      <c r="P1076" s="197"/>
      <c r="Q1076" s="103"/>
      <c r="S1076" s="7"/>
      <c r="T1076" s="7"/>
      <c r="U1076" s="7"/>
      <c r="V1076" s="7"/>
    </row>
    <row r="1077" spans="2:22" ht="12.5">
      <c r="B1077" s="152"/>
      <c r="C1077" s="152"/>
      <c r="D1077" s="152"/>
      <c r="E1077" s="152"/>
      <c r="F1077" s="152"/>
      <c r="G1077" s="152"/>
      <c r="H1077" s="152"/>
      <c r="I1077" s="152"/>
      <c r="J1077" s="152"/>
      <c r="K1077" s="152"/>
      <c r="L1077" s="152"/>
      <c r="M1077" s="152"/>
      <c r="N1077" s="152"/>
      <c r="O1077" s="7"/>
      <c r="P1077" s="197"/>
      <c r="Q1077" s="103"/>
      <c r="S1077" s="7"/>
      <c r="T1077" s="7"/>
      <c r="U1077" s="7"/>
      <c r="V1077" s="7"/>
    </row>
    <row r="1078" spans="2:22" ht="12.5">
      <c r="B1078" s="152"/>
      <c r="C1078" s="152"/>
      <c r="D1078" s="152"/>
      <c r="E1078" s="152"/>
      <c r="F1078" s="152"/>
      <c r="G1078" s="152"/>
      <c r="H1078" s="152"/>
      <c r="I1078" s="152"/>
      <c r="J1078" s="152"/>
      <c r="K1078" s="152"/>
      <c r="L1078" s="152"/>
      <c r="M1078" s="152"/>
      <c r="N1078" s="152"/>
      <c r="O1078" s="7"/>
      <c r="P1078" s="197"/>
      <c r="Q1078" s="103"/>
      <c r="S1078" s="7"/>
      <c r="T1078" s="7"/>
      <c r="U1078" s="7"/>
      <c r="V1078" s="7"/>
    </row>
    <row r="1079" spans="2:22" ht="12.5">
      <c r="B1079" s="152"/>
      <c r="C1079" s="152"/>
      <c r="D1079" s="152"/>
      <c r="E1079" s="152"/>
      <c r="F1079" s="152"/>
      <c r="G1079" s="152"/>
      <c r="H1079" s="152"/>
      <c r="I1079" s="152"/>
      <c r="J1079" s="152"/>
      <c r="K1079" s="152"/>
      <c r="L1079" s="152"/>
      <c r="M1079" s="152"/>
      <c r="N1079" s="152"/>
      <c r="O1079" s="7"/>
      <c r="P1079" s="197"/>
      <c r="Q1079" s="103"/>
      <c r="S1079" s="7"/>
      <c r="T1079" s="7"/>
      <c r="U1079" s="7"/>
      <c r="V1079" s="7"/>
    </row>
    <row r="1080" spans="2:22" ht="12.5">
      <c r="B1080" s="152"/>
      <c r="C1080" s="152"/>
      <c r="D1080" s="152"/>
      <c r="E1080" s="152"/>
      <c r="F1080" s="152"/>
      <c r="G1080" s="152"/>
      <c r="H1080" s="152"/>
      <c r="I1080" s="152"/>
      <c r="J1080" s="152"/>
      <c r="K1080" s="152"/>
      <c r="L1080" s="152"/>
      <c r="M1080" s="152"/>
      <c r="N1080" s="152"/>
      <c r="O1080" s="7"/>
      <c r="P1080" s="197"/>
      <c r="Q1080" s="103"/>
      <c r="S1080" s="7"/>
      <c r="T1080" s="7"/>
      <c r="U1080" s="7"/>
      <c r="V1080" s="7"/>
    </row>
    <row r="1081" spans="2:22" ht="12.5">
      <c r="B1081" s="152"/>
      <c r="C1081" s="152"/>
      <c r="D1081" s="152"/>
      <c r="E1081" s="152"/>
      <c r="F1081" s="152"/>
      <c r="G1081" s="152"/>
      <c r="H1081" s="152"/>
      <c r="I1081" s="152"/>
      <c r="J1081" s="152"/>
      <c r="K1081" s="152"/>
      <c r="L1081" s="152"/>
      <c r="M1081" s="152"/>
      <c r="N1081" s="152"/>
      <c r="O1081" s="7"/>
      <c r="P1081" s="197"/>
      <c r="Q1081" s="103"/>
      <c r="S1081" s="7"/>
      <c r="T1081" s="7"/>
      <c r="U1081" s="7"/>
      <c r="V1081" s="7"/>
    </row>
    <row r="1082" spans="2:22" ht="12.5">
      <c r="B1082" s="152"/>
      <c r="C1082" s="152"/>
      <c r="D1082" s="152"/>
      <c r="E1082" s="152"/>
      <c r="F1082" s="152"/>
      <c r="G1082" s="152"/>
      <c r="H1082" s="152"/>
      <c r="I1082" s="152"/>
      <c r="J1082" s="152"/>
      <c r="K1082" s="152"/>
      <c r="L1082" s="152"/>
      <c r="M1082" s="152"/>
      <c r="N1082" s="152"/>
      <c r="O1082" s="7"/>
      <c r="P1082" s="197"/>
      <c r="Q1082" s="103"/>
      <c r="S1082" s="7"/>
      <c r="T1082" s="7"/>
      <c r="U1082" s="7"/>
      <c r="V1082" s="7"/>
    </row>
    <row r="1083" spans="2:22" ht="12.5">
      <c r="B1083" s="152"/>
      <c r="C1083" s="152"/>
      <c r="D1083" s="152"/>
      <c r="E1083" s="152"/>
      <c r="F1083" s="152"/>
      <c r="G1083" s="152"/>
      <c r="H1083" s="152"/>
      <c r="I1083" s="152"/>
      <c r="J1083" s="152"/>
      <c r="K1083" s="152"/>
      <c r="L1083" s="152"/>
      <c r="M1083" s="152"/>
      <c r="N1083" s="152"/>
      <c r="O1083" s="7"/>
      <c r="P1083" s="197"/>
      <c r="Q1083" s="103"/>
      <c r="S1083" s="7"/>
      <c r="T1083" s="7"/>
      <c r="U1083" s="7"/>
      <c r="V1083" s="7"/>
    </row>
    <row r="1084" spans="2:22" ht="12.5">
      <c r="B1084" s="152"/>
      <c r="C1084" s="152"/>
      <c r="D1084" s="152"/>
      <c r="E1084" s="152"/>
      <c r="F1084" s="152"/>
      <c r="G1084" s="152"/>
      <c r="H1084" s="152"/>
      <c r="I1084" s="152"/>
      <c r="J1084" s="152"/>
      <c r="K1084" s="152"/>
      <c r="L1084" s="152"/>
      <c r="M1084" s="152"/>
      <c r="N1084" s="152"/>
      <c r="O1084" s="7"/>
      <c r="P1084" s="197"/>
      <c r="Q1084" s="103"/>
      <c r="S1084" s="7"/>
      <c r="T1084" s="7"/>
      <c r="U1084" s="7"/>
      <c r="V1084" s="7"/>
    </row>
    <row r="1085" spans="2:22" ht="12.5">
      <c r="B1085" s="152"/>
      <c r="C1085" s="152"/>
      <c r="D1085" s="152"/>
      <c r="E1085" s="152"/>
      <c r="F1085" s="152"/>
      <c r="G1085" s="152"/>
      <c r="H1085" s="152"/>
      <c r="I1085" s="152"/>
      <c r="J1085" s="152"/>
      <c r="K1085" s="152"/>
      <c r="L1085" s="152"/>
      <c r="M1085" s="152"/>
      <c r="N1085" s="152"/>
      <c r="O1085" s="7"/>
      <c r="P1085" s="197"/>
      <c r="Q1085" s="103"/>
      <c r="S1085" s="7"/>
      <c r="T1085" s="7"/>
      <c r="U1085" s="7"/>
      <c r="V1085" s="7"/>
    </row>
    <row r="1086" spans="2:22" ht="12.5">
      <c r="B1086" s="152"/>
      <c r="C1086" s="152"/>
      <c r="D1086" s="152"/>
      <c r="E1086" s="152"/>
      <c r="F1086" s="152"/>
      <c r="G1086" s="152"/>
      <c r="H1086" s="152"/>
      <c r="I1086" s="152"/>
      <c r="J1086" s="152"/>
      <c r="K1086" s="152"/>
      <c r="L1086" s="152"/>
      <c r="M1086" s="152"/>
      <c r="N1086" s="152"/>
      <c r="O1086" s="7"/>
      <c r="P1086" s="197"/>
      <c r="Q1086" s="103"/>
      <c r="S1086" s="7"/>
      <c r="T1086" s="7"/>
      <c r="U1086" s="7"/>
      <c r="V1086" s="7"/>
    </row>
    <row r="1087" spans="2:22" ht="12.5">
      <c r="B1087" s="152"/>
      <c r="C1087" s="152"/>
      <c r="D1087" s="152"/>
      <c r="E1087" s="152"/>
      <c r="F1087" s="152"/>
      <c r="G1087" s="152"/>
      <c r="H1087" s="152"/>
      <c r="I1087" s="152"/>
      <c r="J1087" s="152"/>
      <c r="K1087" s="152"/>
      <c r="L1087" s="152"/>
      <c r="M1087" s="152"/>
      <c r="N1087" s="152"/>
      <c r="O1087" s="7"/>
      <c r="P1087" s="197"/>
      <c r="Q1087" s="103"/>
      <c r="S1087" s="7"/>
      <c r="T1087" s="7"/>
      <c r="U1087" s="7"/>
      <c r="V1087" s="7"/>
    </row>
    <row r="1088" spans="2:22" ht="12.5">
      <c r="B1088" s="152"/>
      <c r="C1088" s="152"/>
      <c r="D1088" s="152"/>
      <c r="E1088" s="152"/>
      <c r="F1088" s="152"/>
      <c r="G1088" s="152"/>
      <c r="H1088" s="152"/>
      <c r="I1088" s="152"/>
      <c r="J1088" s="152"/>
      <c r="K1088" s="152"/>
      <c r="L1088" s="152"/>
      <c r="M1088" s="152"/>
      <c r="N1088" s="152"/>
      <c r="O1088" s="7"/>
      <c r="P1088" s="197"/>
      <c r="Q1088" s="103"/>
      <c r="S1088" s="7"/>
      <c r="T1088" s="7"/>
      <c r="U1088" s="7"/>
      <c r="V1088" s="7"/>
    </row>
    <row r="1089" spans="2:22" ht="12.5">
      <c r="B1089" s="152"/>
      <c r="C1089" s="152"/>
      <c r="D1089" s="152"/>
      <c r="E1089" s="152"/>
      <c r="F1089" s="152"/>
      <c r="G1089" s="152"/>
      <c r="H1089" s="152"/>
      <c r="I1089" s="152"/>
      <c r="J1089" s="152"/>
      <c r="K1089" s="152"/>
      <c r="L1089" s="152"/>
      <c r="M1089" s="152"/>
      <c r="N1089" s="152"/>
      <c r="O1089" s="7"/>
      <c r="P1089" s="197"/>
      <c r="Q1089" s="103"/>
      <c r="S1089" s="7"/>
      <c r="T1089" s="7"/>
      <c r="U1089" s="7"/>
      <c r="V1089" s="7"/>
    </row>
    <row r="1090" spans="2:22" ht="12.5">
      <c r="B1090" s="152"/>
      <c r="C1090" s="152"/>
      <c r="D1090" s="152"/>
      <c r="E1090" s="152"/>
      <c r="F1090" s="152"/>
      <c r="G1090" s="152"/>
      <c r="H1090" s="152"/>
      <c r="I1090" s="152"/>
      <c r="J1090" s="152"/>
      <c r="K1090" s="152"/>
      <c r="L1090" s="152"/>
      <c r="M1090" s="152"/>
      <c r="N1090" s="152"/>
      <c r="O1090" s="7"/>
      <c r="P1090" s="197"/>
      <c r="Q1090" s="103"/>
      <c r="S1090" s="7"/>
      <c r="T1090" s="7"/>
      <c r="U1090" s="7"/>
      <c r="V1090" s="7"/>
    </row>
    <row r="1091" spans="2:22" ht="12.5">
      <c r="B1091" s="152"/>
      <c r="C1091" s="152"/>
      <c r="D1091" s="152"/>
      <c r="E1091" s="152"/>
      <c r="F1091" s="152"/>
      <c r="G1091" s="152"/>
      <c r="H1091" s="152"/>
      <c r="I1091" s="152"/>
      <c r="J1091" s="152"/>
      <c r="K1091" s="152"/>
      <c r="L1091" s="152"/>
      <c r="M1091" s="152"/>
      <c r="N1091" s="152"/>
      <c r="O1091" s="7"/>
      <c r="P1091" s="197"/>
      <c r="Q1091" s="103"/>
      <c r="S1091" s="7"/>
      <c r="T1091" s="7"/>
      <c r="U1091" s="7"/>
      <c r="V1091" s="7"/>
    </row>
    <row r="1092" spans="2:22" ht="12.5">
      <c r="B1092" s="152"/>
      <c r="C1092" s="152"/>
      <c r="D1092" s="152"/>
      <c r="E1092" s="152"/>
      <c r="F1092" s="152"/>
      <c r="G1092" s="152"/>
      <c r="H1092" s="152"/>
      <c r="I1092" s="152"/>
      <c r="J1092" s="152"/>
      <c r="K1092" s="152"/>
      <c r="L1092" s="152"/>
      <c r="M1092" s="152"/>
      <c r="N1092" s="152"/>
      <c r="O1092" s="7"/>
      <c r="P1092" s="197"/>
      <c r="Q1092" s="103"/>
      <c r="S1092" s="7"/>
      <c r="T1092" s="7"/>
      <c r="U1092" s="7"/>
      <c r="V1092" s="7"/>
    </row>
    <row r="1093" spans="2:22" ht="12.5">
      <c r="B1093" s="152"/>
      <c r="C1093" s="152"/>
      <c r="D1093" s="152"/>
      <c r="E1093" s="152"/>
      <c r="F1093" s="152"/>
      <c r="G1093" s="152"/>
      <c r="H1093" s="152"/>
      <c r="I1093" s="152"/>
      <c r="J1093" s="152"/>
      <c r="K1093" s="152"/>
      <c r="L1093" s="152"/>
      <c r="M1093" s="152"/>
      <c r="N1093" s="152"/>
      <c r="O1093" s="7"/>
      <c r="P1093" s="197"/>
      <c r="Q1093" s="103"/>
      <c r="S1093" s="7"/>
      <c r="T1093" s="7"/>
      <c r="U1093" s="7"/>
      <c r="V1093" s="7"/>
    </row>
    <row r="1094" spans="2:22" ht="12.5">
      <c r="B1094" s="152"/>
      <c r="C1094" s="152"/>
      <c r="D1094" s="152"/>
      <c r="E1094" s="152"/>
      <c r="F1094" s="152"/>
      <c r="G1094" s="152"/>
      <c r="H1094" s="152"/>
      <c r="I1094" s="152"/>
      <c r="J1094" s="152"/>
      <c r="K1094" s="152"/>
      <c r="L1094" s="152"/>
      <c r="M1094" s="152"/>
      <c r="N1094" s="152"/>
      <c r="O1094" s="7"/>
      <c r="P1094" s="197"/>
      <c r="Q1094" s="103"/>
      <c r="S1094" s="7"/>
      <c r="T1094" s="7"/>
      <c r="U1094" s="7"/>
      <c r="V1094" s="7"/>
    </row>
    <row r="1095" spans="2:22" ht="12.5">
      <c r="B1095" s="152"/>
      <c r="C1095" s="152"/>
      <c r="D1095" s="152"/>
      <c r="E1095" s="152"/>
      <c r="F1095" s="152"/>
      <c r="G1095" s="152"/>
      <c r="H1095" s="152"/>
      <c r="I1095" s="152"/>
      <c r="J1095" s="152"/>
      <c r="K1095" s="152"/>
      <c r="L1095" s="152"/>
      <c r="M1095" s="152"/>
      <c r="N1095" s="152"/>
      <c r="O1095" s="7"/>
      <c r="P1095" s="197"/>
      <c r="Q1095" s="103"/>
      <c r="S1095" s="7"/>
      <c r="T1095" s="7"/>
      <c r="U1095" s="7"/>
      <c r="V1095" s="7"/>
    </row>
    <row r="1096" spans="2:22" ht="12.5">
      <c r="B1096" s="152"/>
      <c r="C1096" s="152"/>
      <c r="D1096" s="152"/>
      <c r="E1096" s="152"/>
      <c r="F1096" s="152"/>
      <c r="G1096" s="152"/>
      <c r="H1096" s="152"/>
      <c r="I1096" s="152"/>
      <c r="J1096" s="152"/>
      <c r="K1096" s="152"/>
      <c r="L1096" s="152"/>
      <c r="M1096" s="152"/>
      <c r="N1096" s="152"/>
      <c r="O1096" s="7"/>
      <c r="P1096" s="197"/>
      <c r="Q1096" s="103"/>
      <c r="S1096" s="7"/>
      <c r="T1096" s="7"/>
      <c r="U1096" s="7"/>
      <c r="V1096" s="7"/>
    </row>
    <row r="1097" spans="2:22" ht="12.5">
      <c r="B1097" s="152"/>
      <c r="C1097" s="152"/>
      <c r="D1097" s="152"/>
      <c r="E1097" s="152"/>
      <c r="F1097" s="152"/>
      <c r="G1097" s="152"/>
      <c r="H1097" s="152"/>
      <c r="I1097" s="152"/>
      <c r="J1097" s="152"/>
      <c r="K1097" s="152"/>
      <c r="L1097" s="152"/>
      <c r="M1097" s="152"/>
      <c r="N1097" s="152"/>
      <c r="O1097" s="7"/>
      <c r="P1097" s="197"/>
      <c r="Q1097" s="103"/>
      <c r="S1097" s="7"/>
      <c r="T1097" s="7"/>
      <c r="U1097" s="7"/>
      <c r="V1097" s="7"/>
    </row>
    <row r="1098" spans="2:22" ht="12.5">
      <c r="B1098" s="152"/>
      <c r="C1098" s="152"/>
      <c r="D1098" s="152"/>
      <c r="E1098" s="152"/>
      <c r="F1098" s="152"/>
      <c r="G1098" s="152"/>
      <c r="H1098" s="152"/>
      <c r="I1098" s="152"/>
      <c r="J1098" s="152"/>
      <c r="K1098" s="152"/>
      <c r="L1098" s="152"/>
      <c r="M1098" s="152"/>
      <c r="N1098" s="152"/>
      <c r="O1098" s="7"/>
      <c r="P1098" s="197"/>
      <c r="Q1098" s="103"/>
      <c r="S1098" s="7"/>
      <c r="T1098" s="7"/>
      <c r="U1098" s="7"/>
      <c r="V1098" s="7"/>
    </row>
    <row r="1099" spans="2:22" ht="12.5">
      <c r="B1099" s="152"/>
      <c r="C1099" s="152"/>
      <c r="D1099" s="152"/>
      <c r="E1099" s="152"/>
      <c r="F1099" s="152"/>
      <c r="G1099" s="152"/>
      <c r="H1099" s="152"/>
      <c r="I1099" s="152"/>
      <c r="J1099" s="152"/>
      <c r="K1099" s="152"/>
      <c r="L1099" s="152"/>
      <c r="M1099" s="152"/>
      <c r="N1099" s="152"/>
      <c r="O1099" s="7"/>
      <c r="P1099" s="197"/>
      <c r="Q1099" s="103"/>
      <c r="S1099" s="7"/>
      <c r="T1099" s="7"/>
      <c r="U1099" s="7"/>
      <c r="V1099" s="7"/>
    </row>
    <row r="1100" spans="2:22" ht="12.5">
      <c r="B1100" s="152"/>
      <c r="C1100" s="152"/>
      <c r="D1100" s="152"/>
      <c r="E1100" s="152"/>
      <c r="F1100" s="152"/>
      <c r="G1100" s="152"/>
      <c r="H1100" s="152"/>
      <c r="I1100" s="152"/>
      <c r="J1100" s="152"/>
      <c r="K1100" s="152"/>
      <c r="L1100" s="152"/>
      <c r="M1100" s="152"/>
      <c r="N1100" s="152"/>
      <c r="O1100" s="7"/>
      <c r="P1100" s="197"/>
      <c r="Q1100" s="103"/>
      <c r="S1100" s="7"/>
      <c r="T1100" s="7"/>
      <c r="U1100" s="7"/>
      <c r="V1100" s="7"/>
    </row>
    <row r="1101" spans="2:22" ht="12.5">
      <c r="B1101" s="152"/>
      <c r="C1101" s="152"/>
      <c r="D1101" s="152"/>
      <c r="E1101" s="152"/>
      <c r="F1101" s="152"/>
      <c r="G1101" s="152"/>
      <c r="H1101" s="152"/>
      <c r="I1101" s="152"/>
      <c r="J1101" s="152"/>
      <c r="K1101" s="152"/>
      <c r="L1101" s="152"/>
      <c r="M1101" s="152"/>
      <c r="N1101" s="152"/>
      <c r="O1101" s="7"/>
      <c r="P1101" s="197"/>
      <c r="Q1101" s="103"/>
      <c r="S1101" s="7"/>
      <c r="T1101" s="7"/>
      <c r="U1101" s="7"/>
      <c r="V1101" s="7"/>
    </row>
    <row r="1102" spans="2:22" ht="12.5">
      <c r="B1102" s="152"/>
      <c r="C1102" s="152"/>
      <c r="D1102" s="152"/>
      <c r="E1102" s="152"/>
      <c r="F1102" s="152"/>
      <c r="G1102" s="152"/>
      <c r="H1102" s="152"/>
      <c r="I1102" s="152"/>
      <c r="J1102" s="152"/>
      <c r="K1102" s="152"/>
      <c r="L1102" s="152"/>
      <c r="M1102" s="152"/>
      <c r="N1102" s="152"/>
      <c r="O1102" s="7"/>
      <c r="P1102" s="197"/>
      <c r="Q1102" s="103"/>
      <c r="S1102" s="7"/>
      <c r="T1102" s="7"/>
      <c r="U1102" s="7"/>
      <c r="V1102" s="7"/>
    </row>
    <row r="1103" spans="2:22" ht="12.5">
      <c r="B1103" s="152"/>
      <c r="C1103" s="152"/>
      <c r="D1103" s="152"/>
      <c r="E1103" s="152"/>
      <c r="F1103" s="152"/>
      <c r="G1103" s="152"/>
      <c r="H1103" s="152"/>
      <c r="I1103" s="152"/>
      <c r="J1103" s="152"/>
      <c r="K1103" s="152"/>
      <c r="L1103" s="152"/>
      <c r="M1103" s="152"/>
      <c r="N1103" s="152"/>
      <c r="O1103" s="7"/>
      <c r="P1103" s="197"/>
      <c r="Q1103" s="103"/>
      <c r="S1103" s="7"/>
      <c r="T1103" s="7"/>
      <c r="U1103" s="7"/>
      <c r="V1103" s="7"/>
    </row>
    <row r="1104" spans="2:22" ht="12.5">
      <c r="B1104" s="152"/>
      <c r="C1104" s="152"/>
      <c r="D1104" s="152"/>
      <c r="E1104" s="152"/>
      <c r="F1104" s="152"/>
      <c r="G1104" s="152"/>
      <c r="H1104" s="152"/>
      <c r="I1104" s="152"/>
      <c r="J1104" s="152"/>
      <c r="K1104" s="152"/>
      <c r="L1104" s="152"/>
      <c r="M1104" s="152"/>
      <c r="N1104" s="152"/>
      <c r="O1104" s="7"/>
      <c r="P1104" s="197"/>
      <c r="Q1104" s="103"/>
      <c r="S1104" s="7"/>
      <c r="T1104" s="7"/>
      <c r="U1104" s="7"/>
      <c r="V1104" s="7"/>
    </row>
    <row r="1105" spans="2:22" ht="12.5">
      <c r="B1105" s="152"/>
      <c r="C1105" s="152"/>
      <c r="D1105" s="152"/>
      <c r="E1105" s="152"/>
      <c r="F1105" s="152"/>
      <c r="G1105" s="152"/>
      <c r="H1105" s="152"/>
      <c r="I1105" s="152"/>
      <c r="J1105" s="152"/>
      <c r="K1105" s="152"/>
      <c r="L1105" s="152"/>
      <c r="M1105" s="152"/>
      <c r="N1105" s="152"/>
      <c r="O1105" s="7"/>
      <c r="P1105" s="197"/>
      <c r="Q1105" s="103"/>
      <c r="S1105" s="7"/>
      <c r="T1105" s="7"/>
      <c r="U1105" s="7"/>
      <c r="V1105" s="7"/>
    </row>
    <row r="1106" spans="2:22" ht="12.5">
      <c r="B1106" s="152"/>
      <c r="C1106" s="152"/>
      <c r="D1106" s="152"/>
      <c r="E1106" s="152"/>
      <c r="F1106" s="152"/>
      <c r="G1106" s="152"/>
      <c r="H1106" s="152"/>
      <c r="I1106" s="152"/>
      <c r="J1106" s="152"/>
      <c r="K1106" s="152"/>
      <c r="L1106" s="152"/>
      <c r="M1106" s="152"/>
      <c r="N1106" s="152"/>
      <c r="O1106" s="7"/>
      <c r="P1106" s="197"/>
      <c r="Q1106" s="103"/>
      <c r="S1106" s="7"/>
      <c r="T1106" s="7"/>
      <c r="U1106" s="7"/>
      <c r="V1106" s="7"/>
    </row>
    <row r="1107" spans="2:22" ht="12.5">
      <c r="B1107" s="152"/>
      <c r="C1107" s="152"/>
      <c r="D1107" s="152"/>
      <c r="E1107" s="152"/>
      <c r="F1107" s="152"/>
      <c r="G1107" s="152"/>
      <c r="H1107" s="152"/>
      <c r="I1107" s="152"/>
      <c r="J1107" s="152"/>
      <c r="K1107" s="152"/>
      <c r="L1107" s="152"/>
      <c r="M1107" s="152"/>
      <c r="N1107" s="152"/>
      <c r="O1107" s="7"/>
      <c r="P1107" s="197"/>
      <c r="Q1107" s="103"/>
      <c r="S1107" s="7"/>
      <c r="T1107" s="7"/>
      <c r="U1107" s="7"/>
      <c r="V1107" s="7"/>
    </row>
    <row r="1108" spans="2:22" ht="12.5">
      <c r="B1108" s="152"/>
      <c r="C1108" s="152"/>
      <c r="D1108" s="152"/>
      <c r="E1108" s="152"/>
      <c r="F1108" s="152"/>
      <c r="G1108" s="152"/>
      <c r="H1108" s="152"/>
      <c r="I1108" s="152"/>
      <c r="J1108" s="152"/>
      <c r="K1108" s="152"/>
      <c r="L1108" s="152"/>
      <c r="M1108" s="152"/>
      <c r="N1108" s="152"/>
      <c r="O1108" s="7"/>
      <c r="P1108" s="197"/>
      <c r="Q1108" s="103"/>
      <c r="S1108" s="7"/>
      <c r="T1108" s="7"/>
      <c r="U1108" s="7"/>
      <c r="V1108" s="7"/>
    </row>
    <row r="1109" spans="2:22" ht="12.5">
      <c r="B1109" s="152"/>
      <c r="C1109" s="152"/>
      <c r="D1109" s="152"/>
      <c r="E1109" s="152"/>
      <c r="F1109" s="152"/>
      <c r="G1109" s="152"/>
      <c r="H1109" s="152"/>
      <c r="I1109" s="152"/>
      <c r="J1109" s="152"/>
      <c r="K1109" s="152"/>
      <c r="L1109" s="152"/>
      <c r="M1109" s="152"/>
      <c r="N1109" s="152"/>
      <c r="O1109" s="7"/>
      <c r="P1109" s="197"/>
      <c r="Q1109" s="103"/>
      <c r="S1109" s="7"/>
      <c r="T1109" s="7"/>
      <c r="U1109" s="7"/>
      <c r="V1109" s="7"/>
    </row>
    <row r="1110" spans="2:22" ht="12.5">
      <c r="B1110" s="152"/>
      <c r="C1110" s="152"/>
      <c r="D1110" s="152"/>
      <c r="E1110" s="152"/>
      <c r="F1110" s="152"/>
      <c r="G1110" s="152"/>
      <c r="H1110" s="152"/>
      <c r="I1110" s="152"/>
      <c r="J1110" s="152"/>
      <c r="K1110" s="152"/>
      <c r="L1110" s="152"/>
      <c r="M1110" s="152"/>
      <c r="N1110" s="152"/>
      <c r="O1110" s="7"/>
      <c r="P1110" s="197"/>
      <c r="Q1110" s="103"/>
      <c r="S1110" s="7"/>
      <c r="T1110" s="7"/>
      <c r="U1110" s="7"/>
      <c r="V1110" s="7"/>
    </row>
    <row r="1111" spans="2:22" ht="12.5">
      <c r="B1111" s="152"/>
      <c r="C1111" s="152"/>
      <c r="D1111" s="152"/>
      <c r="E1111" s="152"/>
      <c r="F1111" s="152"/>
      <c r="G1111" s="152"/>
      <c r="H1111" s="152"/>
      <c r="I1111" s="152"/>
      <c r="J1111" s="152"/>
      <c r="K1111" s="152"/>
      <c r="L1111" s="152"/>
      <c r="M1111" s="152"/>
      <c r="N1111" s="152"/>
      <c r="O1111" s="7"/>
      <c r="P1111" s="197"/>
      <c r="Q1111" s="103"/>
      <c r="S1111" s="7"/>
      <c r="T1111" s="7"/>
      <c r="U1111" s="7"/>
      <c r="V1111" s="7"/>
    </row>
    <row r="1112" spans="2:22" ht="12.5">
      <c r="B1112" s="152"/>
      <c r="C1112" s="152"/>
      <c r="D1112" s="152"/>
      <c r="E1112" s="152"/>
      <c r="F1112" s="152"/>
      <c r="G1112" s="152"/>
      <c r="H1112" s="152"/>
      <c r="I1112" s="152"/>
      <c r="J1112" s="152"/>
      <c r="K1112" s="152"/>
      <c r="L1112" s="152"/>
      <c r="M1112" s="152"/>
      <c r="N1112" s="152"/>
      <c r="O1112" s="7"/>
      <c r="P1112" s="197"/>
      <c r="Q1112" s="103"/>
      <c r="S1112" s="7"/>
      <c r="T1112" s="7"/>
      <c r="U1112" s="7"/>
      <c r="V1112" s="7"/>
    </row>
    <row r="1113" spans="2:22" ht="12.5">
      <c r="B1113" s="152"/>
      <c r="C1113" s="152"/>
      <c r="D1113" s="152"/>
      <c r="E1113" s="152"/>
      <c r="F1113" s="152"/>
      <c r="G1113" s="152"/>
      <c r="H1113" s="152"/>
      <c r="I1113" s="152"/>
      <c r="J1113" s="152"/>
      <c r="K1113" s="152"/>
      <c r="L1113" s="152"/>
      <c r="M1113" s="152"/>
      <c r="N1113" s="152"/>
      <c r="O1113" s="7"/>
      <c r="P1113" s="197"/>
      <c r="Q1113" s="103"/>
      <c r="S1113" s="7"/>
      <c r="T1113" s="7"/>
      <c r="U1113" s="7"/>
      <c r="V1113" s="7"/>
    </row>
    <row r="1114" spans="2:22" ht="12.5">
      <c r="B1114" s="152"/>
      <c r="C1114" s="152"/>
      <c r="D1114" s="152"/>
      <c r="E1114" s="152"/>
      <c r="F1114" s="152"/>
      <c r="G1114" s="152"/>
      <c r="H1114" s="152"/>
      <c r="I1114" s="152"/>
      <c r="J1114" s="152"/>
      <c r="K1114" s="152"/>
      <c r="L1114" s="152"/>
      <c r="M1114" s="152"/>
      <c r="N1114" s="152"/>
      <c r="O1114" s="7"/>
      <c r="P1114" s="197"/>
      <c r="Q1114" s="103"/>
      <c r="S1114" s="7"/>
      <c r="T1114" s="7"/>
      <c r="U1114" s="7"/>
      <c r="V1114" s="7"/>
    </row>
    <row r="1115" spans="2:22" ht="12.5">
      <c r="B1115" s="152"/>
      <c r="C1115" s="152"/>
      <c r="D1115" s="152"/>
      <c r="E1115" s="152"/>
      <c r="F1115" s="152"/>
      <c r="G1115" s="152"/>
      <c r="H1115" s="152"/>
      <c r="I1115" s="152"/>
      <c r="J1115" s="152"/>
      <c r="K1115" s="152"/>
      <c r="L1115" s="152"/>
      <c r="M1115" s="152"/>
      <c r="N1115" s="152"/>
      <c r="O1115" s="7"/>
      <c r="P1115" s="197"/>
      <c r="Q1115" s="103"/>
      <c r="S1115" s="7"/>
      <c r="T1115" s="7"/>
      <c r="U1115" s="7"/>
      <c r="V1115" s="7"/>
    </row>
    <row r="1116" spans="2:22" ht="12.5">
      <c r="B1116" s="152"/>
      <c r="C1116" s="152"/>
      <c r="D1116" s="152"/>
      <c r="E1116" s="152"/>
      <c r="F1116" s="152"/>
      <c r="G1116" s="152"/>
      <c r="H1116" s="152"/>
      <c r="I1116" s="152"/>
      <c r="J1116" s="152"/>
      <c r="K1116" s="152"/>
      <c r="L1116" s="152"/>
      <c r="M1116" s="152"/>
      <c r="N1116" s="152"/>
      <c r="O1116" s="7"/>
      <c r="P1116" s="197"/>
      <c r="Q1116" s="103"/>
      <c r="S1116" s="7"/>
      <c r="T1116" s="7"/>
      <c r="U1116" s="7"/>
      <c r="V1116" s="7"/>
    </row>
    <row r="1117" spans="2:22" ht="12.5">
      <c r="B1117" s="152"/>
      <c r="C1117" s="152"/>
      <c r="D1117" s="152"/>
      <c r="E1117" s="152"/>
      <c r="F1117" s="152"/>
      <c r="G1117" s="152"/>
      <c r="H1117" s="152"/>
      <c r="I1117" s="152"/>
      <c r="J1117" s="152"/>
      <c r="K1117" s="152"/>
      <c r="L1117" s="152"/>
      <c r="M1117" s="152"/>
      <c r="N1117" s="152"/>
      <c r="O1117" s="7"/>
      <c r="P1117" s="197"/>
      <c r="Q1117" s="103"/>
      <c r="S1117" s="7"/>
      <c r="T1117" s="7"/>
      <c r="U1117" s="7"/>
      <c r="V1117" s="7"/>
    </row>
    <row r="1118" spans="2:22" ht="12.5">
      <c r="B1118" s="152"/>
      <c r="C1118" s="152"/>
      <c r="D1118" s="152"/>
      <c r="E1118" s="152"/>
      <c r="F1118" s="152"/>
      <c r="G1118" s="152"/>
      <c r="H1118" s="152"/>
      <c r="I1118" s="152"/>
      <c r="J1118" s="152"/>
      <c r="K1118" s="152"/>
      <c r="L1118" s="152"/>
      <c r="M1118" s="152"/>
      <c r="N1118" s="152"/>
      <c r="O1118" s="7"/>
      <c r="P1118" s="197"/>
      <c r="Q1118" s="103"/>
      <c r="S1118" s="7"/>
      <c r="T1118" s="7"/>
      <c r="U1118" s="7"/>
      <c r="V1118" s="7"/>
    </row>
    <row r="1119" spans="2:22" ht="12.5">
      <c r="B1119" s="152"/>
      <c r="C1119" s="152"/>
      <c r="D1119" s="152"/>
      <c r="E1119" s="152"/>
      <c r="F1119" s="152"/>
      <c r="G1119" s="152"/>
      <c r="H1119" s="152"/>
      <c r="I1119" s="152"/>
      <c r="J1119" s="152"/>
      <c r="K1119" s="152"/>
      <c r="L1119" s="152"/>
      <c r="M1119" s="152"/>
      <c r="N1119" s="152"/>
      <c r="O1119" s="7"/>
      <c r="P1119" s="197"/>
      <c r="Q1119" s="103"/>
      <c r="S1119" s="7"/>
      <c r="T1119" s="7"/>
      <c r="U1119" s="7"/>
      <c r="V1119" s="7"/>
    </row>
    <row r="1120" spans="2:22" ht="12.5">
      <c r="B1120" s="152"/>
      <c r="C1120" s="152"/>
      <c r="D1120" s="152"/>
      <c r="E1120" s="152"/>
      <c r="F1120" s="152"/>
      <c r="G1120" s="152"/>
      <c r="H1120" s="152"/>
      <c r="I1120" s="152"/>
      <c r="J1120" s="152"/>
      <c r="K1120" s="152"/>
      <c r="L1120" s="152"/>
      <c r="M1120" s="152"/>
      <c r="N1120" s="152"/>
      <c r="O1120" s="7"/>
      <c r="P1120" s="197"/>
      <c r="Q1120" s="103"/>
      <c r="S1120" s="7"/>
      <c r="T1120" s="7"/>
      <c r="U1120" s="7"/>
      <c r="V1120" s="7"/>
    </row>
    <row r="1121" spans="2:22" ht="12.5">
      <c r="B1121" s="152"/>
      <c r="C1121" s="152"/>
      <c r="D1121" s="152"/>
      <c r="E1121" s="152"/>
      <c r="F1121" s="152"/>
      <c r="G1121" s="152"/>
      <c r="H1121" s="152"/>
      <c r="I1121" s="152"/>
      <c r="J1121" s="152"/>
      <c r="K1121" s="152"/>
      <c r="L1121" s="152"/>
      <c r="M1121" s="152"/>
      <c r="N1121" s="152"/>
      <c r="O1121" s="7"/>
      <c r="P1121" s="197"/>
      <c r="Q1121" s="103"/>
      <c r="S1121" s="7"/>
      <c r="T1121" s="7"/>
      <c r="U1121" s="7"/>
      <c r="V1121" s="7"/>
    </row>
    <row r="1122" spans="2:22" ht="12.5">
      <c r="B1122" s="152"/>
      <c r="C1122" s="152"/>
      <c r="D1122" s="152"/>
      <c r="E1122" s="152"/>
      <c r="F1122" s="152"/>
      <c r="G1122" s="152"/>
      <c r="H1122" s="152"/>
      <c r="I1122" s="152"/>
      <c r="J1122" s="152"/>
      <c r="K1122" s="152"/>
      <c r="L1122" s="152"/>
      <c r="M1122" s="152"/>
      <c r="N1122" s="152"/>
      <c r="O1122" s="7"/>
      <c r="P1122" s="197"/>
      <c r="Q1122" s="103"/>
      <c r="S1122" s="7"/>
      <c r="T1122" s="7"/>
      <c r="U1122" s="7"/>
      <c r="V1122" s="7"/>
    </row>
    <row r="1123" spans="2:22" ht="12.5">
      <c r="B1123" s="152"/>
      <c r="C1123" s="152"/>
      <c r="D1123" s="152"/>
      <c r="E1123" s="152"/>
      <c r="F1123" s="152"/>
      <c r="G1123" s="152"/>
      <c r="H1123" s="152"/>
      <c r="I1123" s="152"/>
      <c r="J1123" s="152"/>
      <c r="K1123" s="152"/>
      <c r="L1123" s="152"/>
      <c r="M1123" s="152"/>
      <c r="N1123" s="152"/>
      <c r="O1123" s="7"/>
      <c r="P1123" s="197"/>
      <c r="Q1123" s="103"/>
      <c r="S1123" s="7"/>
      <c r="T1123" s="7"/>
      <c r="U1123" s="7"/>
      <c r="V1123" s="7"/>
    </row>
    <row r="1124" spans="2:22" ht="12.5">
      <c r="B1124" s="152"/>
      <c r="C1124" s="152"/>
      <c r="D1124" s="152"/>
      <c r="E1124" s="152"/>
      <c r="F1124" s="152"/>
      <c r="G1124" s="152"/>
      <c r="H1124" s="152"/>
      <c r="I1124" s="152"/>
      <c r="J1124" s="152"/>
      <c r="K1124" s="152"/>
      <c r="L1124" s="152"/>
      <c r="M1124" s="152"/>
      <c r="N1124" s="152"/>
      <c r="O1124" s="7"/>
      <c r="P1124" s="197"/>
      <c r="Q1124" s="103"/>
      <c r="S1124" s="7"/>
      <c r="T1124" s="7"/>
      <c r="U1124" s="7"/>
      <c r="V1124" s="7"/>
    </row>
    <row r="1125" spans="2:22" ht="12.5">
      <c r="B1125" s="152"/>
      <c r="C1125" s="152"/>
      <c r="D1125" s="152"/>
      <c r="E1125" s="152"/>
      <c r="F1125" s="152"/>
      <c r="G1125" s="152"/>
      <c r="H1125" s="152"/>
      <c r="I1125" s="152"/>
      <c r="J1125" s="152"/>
      <c r="K1125" s="152"/>
      <c r="L1125" s="152"/>
      <c r="M1125" s="152"/>
      <c r="N1125" s="152"/>
      <c r="O1125" s="7"/>
      <c r="P1125" s="197"/>
      <c r="Q1125" s="103"/>
      <c r="S1125" s="7"/>
      <c r="T1125" s="7"/>
      <c r="U1125" s="7"/>
      <c r="V1125" s="7"/>
    </row>
    <row r="1126" spans="2:22" ht="12.5">
      <c r="B1126" s="152"/>
      <c r="C1126" s="152"/>
      <c r="D1126" s="152"/>
      <c r="E1126" s="152"/>
      <c r="F1126" s="152"/>
      <c r="G1126" s="152"/>
      <c r="H1126" s="152"/>
      <c r="I1126" s="152"/>
      <c r="J1126" s="152"/>
      <c r="K1126" s="152"/>
      <c r="L1126" s="152"/>
      <c r="M1126" s="152"/>
      <c r="N1126" s="152"/>
      <c r="O1126" s="7"/>
      <c r="P1126" s="197"/>
      <c r="Q1126" s="103"/>
      <c r="S1126" s="7"/>
      <c r="T1126" s="7"/>
      <c r="U1126" s="7"/>
      <c r="V1126" s="7"/>
    </row>
    <row r="1127" spans="2:22" ht="12.5">
      <c r="B1127" s="152"/>
      <c r="C1127" s="152"/>
      <c r="D1127" s="152"/>
      <c r="E1127" s="152"/>
      <c r="F1127" s="152"/>
      <c r="G1127" s="152"/>
      <c r="H1127" s="152"/>
      <c r="I1127" s="152"/>
      <c r="J1127" s="152"/>
      <c r="K1127" s="152"/>
      <c r="L1127" s="152"/>
      <c r="M1127" s="152"/>
      <c r="N1127" s="152"/>
      <c r="O1127" s="7"/>
      <c r="P1127" s="197"/>
      <c r="Q1127" s="103"/>
      <c r="S1127" s="7"/>
      <c r="T1127" s="7"/>
      <c r="U1127" s="7"/>
      <c r="V1127" s="7"/>
    </row>
    <row r="1128" spans="2:22" ht="12.5">
      <c r="B1128" s="152"/>
      <c r="C1128" s="152"/>
      <c r="D1128" s="152"/>
      <c r="E1128" s="152"/>
      <c r="F1128" s="152"/>
      <c r="G1128" s="152"/>
      <c r="H1128" s="152"/>
      <c r="I1128" s="152"/>
      <c r="J1128" s="152"/>
      <c r="K1128" s="152"/>
      <c r="L1128" s="152"/>
      <c r="M1128" s="152"/>
      <c r="N1128" s="152"/>
      <c r="O1128" s="7"/>
      <c r="P1128" s="197"/>
      <c r="Q1128" s="103"/>
      <c r="S1128" s="7"/>
      <c r="T1128" s="7"/>
      <c r="U1128" s="7"/>
      <c r="V1128" s="7"/>
    </row>
    <row r="1129" spans="2:22" ht="12.5">
      <c r="B1129" s="152"/>
      <c r="C1129" s="152"/>
      <c r="D1129" s="152"/>
      <c r="E1129" s="152"/>
      <c r="F1129" s="152"/>
      <c r="G1129" s="152"/>
      <c r="H1129" s="152"/>
      <c r="I1129" s="152"/>
      <c r="J1129" s="152"/>
      <c r="K1129" s="152"/>
      <c r="L1129" s="152"/>
      <c r="M1129" s="152"/>
      <c r="N1129" s="152"/>
      <c r="O1129" s="7"/>
      <c r="P1129" s="197"/>
      <c r="Q1129" s="103"/>
      <c r="S1129" s="7"/>
      <c r="T1129" s="7"/>
      <c r="U1129" s="7"/>
      <c r="V1129" s="7"/>
    </row>
    <row r="1130" spans="2:22" ht="12.5">
      <c r="B1130" s="152"/>
      <c r="C1130" s="152"/>
      <c r="D1130" s="152"/>
      <c r="E1130" s="152"/>
      <c r="F1130" s="152"/>
      <c r="G1130" s="152"/>
      <c r="H1130" s="152"/>
      <c r="I1130" s="152"/>
      <c r="J1130" s="152"/>
      <c r="K1130" s="152"/>
      <c r="L1130" s="152"/>
      <c r="M1130" s="152"/>
      <c r="N1130" s="152"/>
      <c r="O1130" s="7"/>
      <c r="P1130" s="197"/>
      <c r="Q1130" s="103"/>
      <c r="S1130" s="7"/>
      <c r="T1130" s="7"/>
      <c r="U1130" s="7"/>
      <c r="V1130" s="7"/>
    </row>
    <row r="1131" spans="2:22" ht="12.5">
      <c r="B1131" s="152"/>
      <c r="C1131" s="152"/>
      <c r="D1131" s="152"/>
      <c r="E1131" s="152"/>
      <c r="F1131" s="152"/>
      <c r="G1131" s="152"/>
      <c r="H1131" s="152"/>
      <c r="I1131" s="152"/>
      <c r="J1131" s="152"/>
      <c r="K1131" s="152"/>
      <c r="L1131" s="152"/>
      <c r="M1131" s="152"/>
      <c r="N1131" s="152"/>
      <c r="O1131" s="7"/>
      <c r="P1131" s="197"/>
      <c r="Q1131" s="103"/>
      <c r="S1131" s="7"/>
      <c r="T1131" s="7"/>
      <c r="U1131" s="7"/>
      <c r="V1131" s="7"/>
    </row>
    <row r="1132" spans="2:22" ht="12.5">
      <c r="B1132" s="152"/>
      <c r="C1132" s="152"/>
      <c r="D1132" s="152"/>
      <c r="E1132" s="152"/>
      <c r="F1132" s="152"/>
      <c r="G1132" s="152"/>
      <c r="H1132" s="152"/>
      <c r="I1132" s="152"/>
      <c r="J1132" s="152"/>
      <c r="K1132" s="152"/>
      <c r="L1132" s="152"/>
      <c r="M1132" s="152"/>
      <c r="N1132" s="152"/>
      <c r="O1132" s="7"/>
      <c r="P1132" s="197"/>
      <c r="Q1132" s="103"/>
      <c r="S1132" s="7"/>
      <c r="T1132" s="7"/>
      <c r="U1132" s="7"/>
      <c r="V1132" s="7"/>
    </row>
    <row r="1133" spans="2:22" ht="12.5">
      <c r="B1133" s="152"/>
      <c r="C1133" s="152"/>
      <c r="D1133" s="152"/>
      <c r="E1133" s="152"/>
      <c r="F1133" s="152"/>
      <c r="G1133" s="152"/>
      <c r="H1133" s="152"/>
      <c r="I1133" s="152"/>
      <c r="J1133" s="152"/>
      <c r="K1133" s="152"/>
      <c r="L1133" s="152"/>
      <c r="M1133" s="152"/>
      <c r="N1133" s="152"/>
      <c r="O1133" s="7"/>
      <c r="P1133" s="197"/>
      <c r="Q1133" s="103"/>
      <c r="S1133" s="7"/>
      <c r="T1133" s="7"/>
      <c r="U1133" s="7"/>
      <c r="V1133" s="7"/>
    </row>
    <row r="1134" spans="2:22" ht="12.5">
      <c r="B1134" s="152"/>
      <c r="C1134" s="152"/>
      <c r="D1134" s="152"/>
      <c r="E1134" s="152"/>
      <c r="F1134" s="152"/>
      <c r="G1134" s="152"/>
      <c r="H1134" s="152"/>
      <c r="I1134" s="152"/>
      <c r="J1134" s="152"/>
      <c r="K1134" s="152"/>
      <c r="L1134" s="152"/>
      <c r="M1134" s="152"/>
      <c r="N1134" s="152"/>
      <c r="O1134" s="7"/>
      <c r="P1134" s="197"/>
      <c r="Q1134" s="103"/>
      <c r="S1134" s="7"/>
      <c r="T1134" s="7"/>
      <c r="U1134" s="7"/>
      <c r="V1134" s="7"/>
    </row>
  </sheetData>
  <mergeCells count="287">
    <mergeCell ref="Y161:Z161"/>
    <mergeCell ref="O167:P167"/>
    <mergeCell ref="Q167:R167"/>
    <mergeCell ref="S167:T167"/>
    <mergeCell ref="U167:V167"/>
    <mergeCell ref="W167:X167"/>
    <mergeCell ref="Y167:Z167"/>
    <mergeCell ref="O175:P175"/>
    <mergeCell ref="Q181:R181"/>
    <mergeCell ref="S181:T181"/>
    <mergeCell ref="Q175:R175"/>
    <mergeCell ref="S175:T175"/>
    <mergeCell ref="O176:P176"/>
    <mergeCell ref="Q176:R176"/>
    <mergeCell ref="O177:P177"/>
    <mergeCell ref="Q177:R177"/>
    <mergeCell ref="O181:P181"/>
    <mergeCell ref="P163:P165"/>
    <mergeCell ref="P169:P171"/>
    <mergeCell ref="R169:R171"/>
    <mergeCell ref="V169:V171"/>
    <mergeCell ref="X169:X171"/>
    <mergeCell ref="O194:P194"/>
    <mergeCell ref="Q194:R194"/>
    <mergeCell ref="O195:P195"/>
    <mergeCell ref="Q195:R195"/>
    <mergeCell ref="O182:P182"/>
    <mergeCell ref="Q182:R182"/>
    <mergeCell ref="O183:P183"/>
    <mergeCell ref="Q183:R183"/>
    <mergeCell ref="O187:P187"/>
    <mergeCell ref="Q187:R187"/>
    <mergeCell ref="O188:P188"/>
    <mergeCell ref="Q188:R188"/>
    <mergeCell ref="O189:P189"/>
    <mergeCell ref="Q189:R189"/>
    <mergeCell ref="O193:P193"/>
    <mergeCell ref="Q193:R193"/>
    <mergeCell ref="S193:T193"/>
    <mergeCell ref="S187:T187"/>
    <mergeCell ref="O127:P127"/>
    <mergeCell ref="Q127:R127"/>
    <mergeCell ref="O56:P56"/>
    <mergeCell ref="O68:P68"/>
    <mergeCell ref="P70:P72"/>
    <mergeCell ref="P76:P78"/>
    <mergeCell ref="R76:R78"/>
    <mergeCell ref="P88:P89"/>
    <mergeCell ref="Q88:R89"/>
    <mergeCell ref="P100:P101"/>
    <mergeCell ref="Q100:R101"/>
    <mergeCell ref="P106:P107"/>
    <mergeCell ref="Q106:R107"/>
    <mergeCell ref="Q108:R108"/>
    <mergeCell ref="Q109:R109"/>
    <mergeCell ref="Q110:R110"/>
    <mergeCell ref="Q111:R111"/>
    <mergeCell ref="O114:P114"/>
    <mergeCell ref="Q114:R114"/>
    <mergeCell ref="O116:P116"/>
    <mergeCell ref="Q116:R116"/>
    <mergeCell ref="O117:P117"/>
    <mergeCell ref="Q117:R117"/>
    <mergeCell ref="O118:P118"/>
    <mergeCell ref="X76:X78"/>
    <mergeCell ref="U68:V68"/>
    <mergeCell ref="W68:X68"/>
    <mergeCell ref="Y68:Z68"/>
    <mergeCell ref="Q56:R56"/>
    <mergeCell ref="R58:R60"/>
    <mergeCell ref="V58:V60"/>
    <mergeCell ref="X58:X60"/>
    <mergeCell ref="P94:P95"/>
    <mergeCell ref="Q94:R95"/>
    <mergeCell ref="Q96:R96"/>
    <mergeCell ref="W62:X62"/>
    <mergeCell ref="A68:A69"/>
    <mergeCell ref="P52:P54"/>
    <mergeCell ref="R52:R54"/>
    <mergeCell ref="V52:V54"/>
    <mergeCell ref="X52:X54"/>
    <mergeCell ref="A56:A57"/>
    <mergeCell ref="W56:X56"/>
    <mergeCell ref="P58:P60"/>
    <mergeCell ref="P64:P66"/>
    <mergeCell ref="R64:R66"/>
    <mergeCell ref="V64:V66"/>
    <mergeCell ref="X64:X66"/>
    <mergeCell ref="A120:A121"/>
    <mergeCell ref="A175:A176"/>
    <mergeCell ref="A181:A182"/>
    <mergeCell ref="A187:A188"/>
    <mergeCell ref="A193:A194"/>
    <mergeCell ref="A126:A127"/>
    <mergeCell ref="A132:A133"/>
    <mergeCell ref="A138:A139"/>
    <mergeCell ref="A149:A150"/>
    <mergeCell ref="A155:A156"/>
    <mergeCell ref="A161:A162"/>
    <mergeCell ref="A167:A168"/>
    <mergeCell ref="A88:A89"/>
    <mergeCell ref="A94:A95"/>
    <mergeCell ref="A100:A101"/>
    <mergeCell ref="A106:A107"/>
    <mergeCell ref="A114:A115"/>
    <mergeCell ref="Q97:R97"/>
    <mergeCell ref="Q98:R98"/>
    <mergeCell ref="Q99:R99"/>
    <mergeCell ref="P82:P83"/>
    <mergeCell ref="Q84:R84"/>
    <mergeCell ref="Q85:R85"/>
    <mergeCell ref="Q86:R86"/>
    <mergeCell ref="Q87:R87"/>
    <mergeCell ref="AG100:AG101"/>
    <mergeCell ref="Q102:R102"/>
    <mergeCell ref="Q103:R103"/>
    <mergeCell ref="Q104:R104"/>
    <mergeCell ref="Q105:R105"/>
    <mergeCell ref="Q90:R90"/>
    <mergeCell ref="Q91:R91"/>
    <mergeCell ref="Q92:R92"/>
    <mergeCell ref="Q93:R93"/>
    <mergeCell ref="A74:A75"/>
    <mergeCell ref="Q74:R74"/>
    <mergeCell ref="S74:T74"/>
    <mergeCell ref="U74:V74"/>
    <mergeCell ref="Q82:R83"/>
    <mergeCell ref="V76:V78"/>
    <mergeCell ref="S56:T56"/>
    <mergeCell ref="U56:V56"/>
    <mergeCell ref="Y56:Z56"/>
    <mergeCell ref="O62:P62"/>
    <mergeCell ref="Q62:R62"/>
    <mergeCell ref="S62:T62"/>
    <mergeCell ref="U62:V62"/>
    <mergeCell ref="Y62:Z62"/>
    <mergeCell ref="O74:P74"/>
    <mergeCell ref="W74:X74"/>
    <mergeCell ref="Y74:Z74"/>
    <mergeCell ref="Q68:R68"/>
    <mergeCell ref="S68:T68"/>
    <mergeCell ref="R70:R72"/>
    <mergeCell ref="V70:V72"/>
    <mergeCell ref="X70:X72"/>
    <mergeCell ref="A82:A83"/>
    <mergeCell ref="A62:A63"/>
    <mergeCell ref="W50:X50"/>
    <mergeCell ref="Y50:Z50"/>
    <mergeCell ref="O48:T48"/>
    <mergeCell ref="U48:Z48"/>
    <mergeCell ref="S49:T49"/>
    <mergeCell ref="Y49:Z49"/>
    <mergeCell ref="A50:A51"/>
    <mergeCell ref="O50:P50"/>
    <mergeCell ref="Q50:R50"/>
    <mergeCell ref="S50:T50"/>
    <mergeCell ref="U50:V50"/>
    <mergeCell ref="S40:T40"/>
    <mergeCell ref="Q41:R41"/>
    <mergeCell ref="O41:P41"/>
    <mergeCell ref="O42:P42"/>
    <mergeCell ref="Q42:R42"/>
    <mergeCell ref="O43:P43"/>
    <mergeCell ref="Q43:R43"/>
    <mergeCell ref="O44:P44"/>
    <mergeCell ref="Q44:R44"/>
    <mergeCell ref="O36:P36"/>
    <mergeCell ref="Q36:R36"/>
    <mergeCell ref="O37:P37"/>
    <mergeCell ref="Q37:R37"/>
    <mergeCell ref="O38:P38"/>
    <mergeCell ref="Q38:R38"/>
    <mergeCell ref="A40:A41"/>
    <mergeCell ref="O40:P40"/>
    <mergeCell ref="Q40:R40"/>
    <mergeCell ref="A26:A27"/>
    <mergeCell ref="W26:X26"/>
    <mergeCell ref="O34:P34"/>
    <mergeCell ref="Q34:R34"/>
    <mergeCell ref="O26:P26"/>
    <mergeCell ref="Q26:R26"/>
    <mergeCell ref="P28:P30"/>
    <mergeCell ref="R28:R30"/>
    <mergeCell ref="V28:V30"/>
    <mergeCell ref="X28:X30"/>
    <mergeCell ref="A34:A35"/>
    <mergeCell ref="S34:T34"/>
    <mergeCell ref="O35:P35"/>
    <mergeCell ref="Q35:R35"/>
    <mergeCell ref="S26:T26"/>
    <mergeCell ref="U26:V26"/>
    <mergeCell ref="Y26:Z26"/>
    <mergeCell ref="Q20:R20"/>
    <mergeCell ref="S20:T20"/>
    <mergeCell ref="P22:P24"/>
    <mergeCell ref="R22:R24"/>
    <mergeCell ref="V22:V24"/>
    <mergeCell ref="X22:X24"/>
    <mergeCell ref="U20:V20"/>
    <mergeCell ref="W20:X20"/>
    <mergeCell ref="B1:G9"/>
    <mergeCell ref="O18:T18"/>
    <mergeCell ref="U18:Z18"/>
    <mergeCell ref="S19:T19"/>
    <mergeCell ref="Y19:Z19"/>
    <mergeCell ref="A20:A21"/>
    <mergeCell ref="O20:P20"/>
    <mergeCell ref="Y20:Z20"/>
    <mergeCell ref="O146:T147"/>
    <mergeCell ref="U146:Z147"/>
    <mergeCell ref="Q133:R133"/>
    <mergeCell ref="O133:P133"/>
    <mergeCell ref="O134:P134"/>
    <mergeCell ref="Q134:R134"/>
    <mergeCell ref="O135:P135"/>
    <mergeCell ref="Q135:R135"/>
    <mergeCell ref="O136:P136"/>
    <mergeCell ref="Q136:R136"/>
    <mergeCell ref="O128:P128"/>
    <mergeCell ref="Q128:R128"/>
    <mergeCell ref="Q129:R129"/>
    <mergeCell ref="O129:P129"/>
    <mergeCell ref="O130:P130"/>
    <mergeCell ref="Q130:R130"/>
    <mergeCell ref="O149:P149"/>
    <mergeCell ref="Q149:R149"/>
    <mergeCell ref="S149:T149"/>
    <mergeCell ref="U149:V149"/>
    <mergeCell ref="W149:X149"/>
    <mergeCell ref="Y149:Z149"/>
    <mergeCell ref="S138:T138"/>
    <mergeCell ref="O139:P139"/>
    <mergeCell ref="Q139:R139"/>
    <mergeCell ref="O140:P140"/>
    <mergeCell ref="Q140:R140"/>
    <mergeCell ref="O141:P141"/>
    <mergeCell ref="Q141:R141"/>
    <mergeCell ref="O142:P142"/>
    <mergeCell ref="Q142:R142"/>
    <mergeCell ref="O138:P138"/>
    <mergeCell ref="Q138:R138"/>
    <mergeCell ref="S126:T126"/>
    <mergeCell ref="Q118:R118"/>
    <mergeCell ref="O122:P122"/>
    <mergeCell ref="Q122:R122"/>
    <mergeCell ref="O123:P123"/>
    <mergeCell ref="Q123:R123"/>
    <mergeCell ref="Q124:R124"/>
    <mergeCell ref="O124:P124"/>
    <mergeCell ref="Y148:Z148"/>
    <mergeCell ref="S148:T148"/>
    <mergeCell ref="P157:P159"/>
    <mergeCell ref="R157:R159"/>
    <mergeCell ref="V157:V159"/>
    <mergeCell ref="X157:X159"/>
    <mergeCell ref="R163:R165"/>
    <mergeCell ref="V163:V165"/>
    <mergeCell ref="X163:X165"/>
    <mergeCell ref="O161:P161"/>
    <mergeCell ref="Q161:R161"/>
    <mergeCell ref="S161:T161"/>
    <mergeCell ref="U161:V161"/>
    <mergeCell ref="W161:X161"/>
    <mergeCell ref="K1:P9"/>
    <mergeCell ref="U155:V155"/>
    <mergeCell ref="W155:X155"/>
    <mergeCell ref="Y155:Z155"/>
    <mergeCell ref="P151:P153"/>
    <mergeCell ref="R151:R153"/>
    <mergeCell ref="V151:V153"/>
    <mergeCell ref="X151:X153"/>
    <mergeCell ref="O155:P155"/>
    <mergeCell ref="Q155:R155"/>
    <mergeCell ref="S155:T155"/>
    <mergeCell ref="O132:P132"/>
    <mergeCell ref="Q132:R132"/>
    <mergeCell ref="S132:T132"/>
    <mergeCell ref="S114:T114"/>
    <mergeCell ref="O115:P115"/>
    <mergeCell ref="Q115:R115"/>
    <mergeCell ref="O120:P120"/>
    <mergeCell ref="Q120:R120"/>
    <mergeCell ref="S120:T120"/>
    <mergeCell ref="Q121:R121"/>
    <mergeCell ref="O121:P121"/>
    <mergeCell ref="O126:P126"/>
    <mergeCell ref="Q126:R126"/>
  </mergeCells>
  <conditionalFormatting sqref="B42:N44 B36:N38">
    <cfRule type="cellIs" dxfId="3" priority="1" operator="equal">
      <formula>0</formula>
    </cfRule>
  </conditionalFormatting>
  <conditionalFormatting sqref="B84:O86 B90:O92 B96:O98 B102:O104 B108:O110">
    <cfRule type="cellIs" dxfId="2" priority="2" operator="equal">
      <formula>0</formula>
    </cfRule>
  </conditionalFormatting>
  <conditionalFormatting sqref="B177:N179 B183:N185 B189:N191 B195:N197">
    <cfRule type="cellIs" dxfId="1" priority="3" operator="equal">
      <formula>0</formula>
    </cfRule>
  </conditionalFormatting>
  <conditionalFormatting sqref="B116:N118 B122:N124 B128:N130 B134:N136 B140:N142 N177:N179 N183:N185 N189:N191 N195:N197">
    <cfRule type="cellIs" dxfId="0" priority="4" operator="equal">
      <formula>0</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C1014"/>
  <sheetViews>
    <sheetView showGridLines="0" zoomScale="69" workbookViewId="0">
      <selection activeCell="Q18" sqref="Q18"/>
    </sheetView>
  </sheetViews>
  <sheetFormatPr defaultColWidth="14.453125" defaultRowHeight="15.75" customHeight="1"/>
  <cols>
    <col min="1" max="1" width="61.90625" customWidth="1"/>
    <col min="2" max="2" width="10.54296875" customWidth="1"/>
    <col min="11" max="11" width="19.6328125" customWidth="1"/>
    <col min="13" max="13" width="53.90625" customWidth="1"/>
    <col min="14" max="14" width="43.36328125" customWidth="1"/>
  </cols>
  <sheetData>
    <row r="1" spans="1:29" ht="12.5">
      <c r="A1" s="370" t="s">
        <v>272</v>
      </c>
      <c r="B1" s="319"/>
      <c r="C1" s="319"/>
      <c r="D1" s="320"/>
      <c r="E1" s="199"/>
      <c r="F1" s="199"/>
      <c r="G1" s="199"/>
      <c r="H1" s="199"/>
      <c r="I1" s="199"/>
      <c r="J1" s="199"/>
      <c r="K1" s="199"/>
      <c r="L1" s="199"/>
      <c r="M1" s="199"/>
      <c r="N1" s="199"/>
      <c r="O1" s="25"/>
      <c r="P1" s="25"/>
      <c r="Q1" s="25"/>
      <c r="R1" s="25"/>
      <c r="S1" s="25"/>
      <c r="T1" s="25"/>
      <c r="U1" s="25"/>
      <c r="V1" s="25"/>
      <c r="W1" s="25"/>
      <c r="X1" s="25"/>
      <c r="Y1" s="25"/>
      <c r="Z1" s="25"/>
      <c r="AA1" s="25"/>
      <c r="AB1" s="25"/>
      <c r="AC1" s="25"/>
    </row>
    <row r="2" spans="1:29" ht="12.5">
      <c r="A2" s="321"/>
      <c r="B2" s="302"/>
      <c r="C2" s="302"/>
      <c r="D2" s="322"/>
      <c r="E2" s="199"/>
      <c r="F2" s="199"/>
      <c r="G2" s="199"/>
      <c r="H2" s="199"/>
      <c r="I2" s="199"/>
      <c r="J2" s="199"/>
      <c r="K2" s="199"/>
      <c r="L2" s="199"/>
      <c r="M2" s="199"/>
      <c r="N2" s="199"/>
      <c r="O2" s="25"/>
      <c r="P2" s="25"/>
      <c r="Q2" s="25"/>
      <c r="R2" s="25"/>
      <c r="S2" s="25"/>
      <c r="T2" s="25"/>
      <c r="U2" s="25"/>
      <c r="V2" s="25"/>
      <c r="W2" s="25"/>
      <c r="X2" s="25"/>
      <c r="Y2" s="25"/>
      <c r="Z2" s="25"/>
      <c r="AA2" s="25"/>
      <c r="AB2" s="25"/>
      <c r="AC2" s="25"/>
    </row>
    <row r="3" spans="1:29" ht="12.5">
      <c r="A3" s="321"/>
      <c r="B3" s="302"/>
      <c r="C3" s="302"/>
      <c r="D3" s="322"/>
      <c r="E3" s="199"/>
      <c r="F3" s="199"/>
      <c r="G3" s="199"/>
      <c r="H3" s="199"/>
      <c r="I3" s="199"/>
      <c r="J3" s="199"/>
      <c r="K3" s="199"/>
      <c r="L3" s="199"/>
      <c r="M3" s="199"/>
      <c r="N3" s="199"/>
      <c r="O3" s="25"/>
      <c r="P3" s="25"/>
      <c r="Q3" s="25"/>
      <c r="R3" s="25"/>
      <c r="S3" s="25"/>
      <c r="T3" s="25"/>
      <c r="U3" s="25"/>
      <c r="V3" s="25"/>
      <c r="W3" s="25"/>
      <c r="X3" s="25"/>
      <c r="Y3" s="25"/>
      <c r="Z3" s="25"/>
      <c r="AA3" s="25"/>
      <c r="AB3" s="25"/>
      <c r="AC3" s="25"/>
    </row>
    <row r="4" spans="1:29" ht="12.5">
      <c r="A4" s="323"/>
      <c r="B4" s="324"/>
      <c r="C4" s="324"/>
      <c r="D4" s="325"/>
      <c r="E4" s="199"/>
      <c r="F4" s="199"/>
      <c r="G4" s="199"/>
      <c r="H4" s="199"/>
      <c r="I4" s="199"/>
      <c r="J4" s="199"/>
      <c r="K4" s="199"/>
      <c r="L4" s="199"/>
      <c r="M4" s="199"/>
      <c r="N4" s="199"/>
      <c r="O4" s="25"/>
      <c r="P4" s="25"/>
      <c r="Q4" s="25"/>
      <c r="R4" s="25"/>
      <c r="S4" s="25"/>
      <c r="T4" s="25"/>
      <c r="U4" s="25"/>
      <c r="V4" s="25"/>
      <c r="W4" s="25"/>
      <c r="X4" s="25"/>
      <c r="Y4" s="25"/>
      <c r="Z4" s="25"/>
      <c r="AA4" s="25"/>
      <c r="AB4" s="25"/>
      <c r="AC4" s="25"/>
    </row>
    <row r="5" spans="1:29" ht="12.5">
      <c r="A5" s="200"/>
      <c r="B5" s="199"/>
      <c r="C5" s="199"/>
      <c r="D5" s="199"/>
      <c r="E5" s="199"/>
      <c r="F5" s="199"/>
      <c r="G5" s="199"/>
      <c r="H5" s="199"/>
      <c r="I5" s="199"/>
      <c r="J5" s="199"/>
      <c r="K5" s="199"/>
      <c r="L5" s="199"/>
      <c r="M5" s="199"/>
      <c r="N5" s="199"/>
      <c r="O5" s="25"/>
      <c r="P5" s="25"/>
      <c r="Q5" s="25"/>
      <c r="R5" s="25"/>
      <c r="S5" s="25"/>
      <c r="T5" s="25"/>
      <c r="U5" s="25"/>
      <c r="V5" s="25"/>
      <c r="W5" s="25"/>
      <c r="X5" s="25"/>
      <c r="Y5" s="25"/>
      <c r="Z5" s="25"/>
      <c r="AA5" s="25"/>
      <c r="AB5" s="25"/>
      <c r="AC5" s="25"/>
    </row>
    <row r="6" spans="1:29" ht="78" customHeight="1">
      <c r="A6" s="277" t="s">
        <v>69</v>
      </c>
      <c r="B6" s="278" t="s">
        <v>70</v>
      </c>
      <c r="C6" s="278" t="s">
        <v>273</v>
      </c>
      <c r="D6" s="278" t="s">
        <v>274</v>
      </c>
      <c r="E6" s="278" t="s">
        <v>32</v>
      </c>
      <c r="F6" s="278" t="s">
        <v>275</v>
      </c>
      <c r="G6" s="278" t="s">
        <v>276</v>
      </c>
      <c r="H6" s="278" t="s">
        <v>277</v>
      </c>
      <c r="I6" s="278" t="s">
        <v>278</v>
      </c>
      <c r="J6" s="278" t="s">
        <v>279</v>
      </c>
      <c r="K6" s="278" t="s">
        <v>280</v>
      </c>
      <c r="L6" s="278" t="s">
        <v>281</v>
      </c>
      <c r="M6" s="278" t="s">
        <v>282</v>
      </c>
      <c r="N6" s="278" t="s">
        <v>283</v>
      </c>
      <c r="O6" s="25"/>
      <c r="P6" s="25"/>
      <c r="Q6" s="25"/>
      <c r="R6" s="25"/>
      <c r="S6" s="25"/>
      <c r="T6" s="25"/>
      <c r="U6" s="25"/>
      <c r="V6" s="25"/>
      <c r="W6" s="25"/>
      <c r="X6" s="25"/>
      <c r="Y6" s="25"/>
      <c r="Z6" s="25"/>
      <c r="AA6" s="25"/>
      <c r="AB6" s="25"/>
      <c r="AC6" s="25"/>
    </row>
    <row r="7" spans="1:29" ht="12.5">
      <c r="A7" s="279" t="s">
        <v>284</v>
      </c>
      <c r="B7" s="280">
        <v>53</v>
      </c>
      <c r="C7" s="280"/>
      <c r="D7" s="280"/>
      <c r="E7" s="280" t="s">
        <v>285</v>
      </c>
      <c r="F7" s="281" t="s">
        <v>286</v>
      </c>
      <c r="G7" s="282">
        <v>2017</v>
      </c>
      <c r="H7" s="281" t="s">
        <v>287</v>
      </c>
      <c r="I7" s="281" t="s">
        <v>286</v>
      </c>
      <c r="J7" s="281" t="s">
        <v>286</v>
      </c>
      <c r="K7" s="280" t="s">
        <v>288</v>
      </c>
      <c r="L7" s="282" t="s">
        <v>289</v>
      </c>
      <c r="M7" s="280" t="s">
        <v>290</v>
      </c>
      <c r="N7" s="283" t="s">
        <v>291</v>
      </c>
      <c r="O7" s="25"/>
      <c r="P7" s="25"/>
      <c r="Q7" s="25"/>
      <c r="R7" s="25"/>
      <c r="S7" s="25"/>
      <c r="T7" s="25"/>
      <c r="U7" s="25"/>
      <c r="V7" s="25"/>
      <c r="W7" s="25"/>
      <c r="X7" s="25"/>
      <c r="Y7" s="25"/>
      <c r="Z7" s="25"/>
      <c r="AA7" s="25"/>
      <c r="AB7" s="25"/>
      <c r="AC7" s="25"/>
    </row>
    <row r="8" spans="1:29" ht="12.5">
      <c r="A8" s="279" t="s">
        <v>292</v>
      </c>
      <c r="B8" s="280">
        <v>0.79</v>
      </c>
      <c r="C8" s="280"/>
      <c r="D8" s="280"/>
      <c r="E8" s="280" t="s">
        <v>293</v>
      </c>
      <c r="F8" s="281" t="s">
        <v>286</v>
      </c>
      <c r="G8" s="282">
        <v>2017</v>
      </c>
      <c r="H8" s="281" t="s">
        <v>287</v>
      </c>
      <c r="I8" s="281" t="s">
        <v>286</v>
      </c>
      <c r="J8" s="281" t="s">
        <v>286</v>
      </c>
      <c r="K8" s="280" t="s">
        <v>288</v>
      </c>
      <c r="L8" s="282" t="s">
        <v>289</v>
      </c>
      <c r="M8" s="280" t="s">
        <v>290</v>
      </c>
      <c r="N8" s="283" t="s">
        <v>291</v>
      </c>
      <c r="O8" s="25"/>
      <c r="P8" s="25"/>
      <c r="Q8" s="25"/>
      <c r="R8" s="25"/>
      <c r="S8" s="25"/>
      <c r="T8" s="25"/>
      <c r="U8" s="25"/>
      <c r="V8" s="25"/>
      <c r="W8" s="25"/>
      <c r="X8" s="25"/>
      <c r="Y8" s="25"/>
      <c r="Z8" s="25"/>
      <c r="AA8" s="25"/>
      <c r="AB8" s="25"/>
      <c r="AC8" s="25"/>
    </row>
    <row r="9" spans="1:29" ht="12.5">
      <c r="A9" s="279" t="s">
        <v>294</v>
      </c>
      <c r="B9" s="280">
        <v>152</v>
      </c>
      <c r="C9" s="280"/>
      <c r="D9" s="280"/>
      <c r="E9" s="280" t="s">
        <v>295</v>
      </c>
      <c r="F9" s="281" t="s">
        <v>286</v>
      </c>
      <c r="G9" s="282">
        <v>2017</v>
      </c>
      <c r="H9" s="281" t="s">
        <v>287</v>
      </c>
      <c r="I9" s="281" t="s">
        <v>286</v>
      </c>
      <c r="J9" s="281" t="s">
        <v>286</v>
      </c>
      <c r="K9" s="280" t="s">
        <v>288</v>
      </c>
      <c r="L9" s="282" t="s">
        <v>289</v>
      </c>
      <c r="M9" s="280" t="s">
        <v>296</v>
      </c>
      <c r="N9" s="284" t="s">
        <v>291</v>
      </c>
      <c r="O9" s="25"/>
      <c r="P9" s="25"/>
      <c r="Q9" s="25"/>
      <c r="R9" s="25"/>
      <c r="S9" s="25"/>
      <c r="T9" s="25"/>
      <c r="U9" s="25"/>
      <c r="V9" s="25"/>
      <c r="W9" s="25"/>
      <c r="X9" s="25"/>
      <c r="Y9" s="25"/>
      <c r="Z9" s="25"/>
      <c r="AA9" s="25"/>
      <c r="AB9" s="25"/>
      <c r="AC9" s="25"/>
    </row>
    <row r="10" spans="1:29" ht="12.5">
      <c r="A10" s="279" t="s">
        <v>297</v>
      </c>
      <c r="B10" s="280">
        <v>2.2000000000000002</v>
      </c>
      <c r="C10" s="280"/>
      <c r="D10" s="280"/>
      <c r="E10" s="280" t="s">
        <v>293</v>
      </c>
      <c r="F10" s="281" t="s">
        <v>286</v>
      </c>
      <c r="G10" s="282">
        <v>2017</v>
      </c>
      <c r="H10" s="281" t="s">
        <v>287</v>
      </c>
      <c r="I10" s="281" t="s">
        <v>286</v>
      </c>
      <c r="J10" s="281" t="s">
        <v>286</v>
      </c>
      <c r="K10" s="280" t="s">
        <v>288</v>
      </c>
      <c r="L10" s="282" t="s">
        <v>289</v>
      </c>
      <c r="M10" s="280"/>
      <c r="N10" s="284" t="s">
        <v>291</v>
      </c>
      <c r="O10" s="25"/>
      <c r="P10" s="25"/>
      <c r="Q10" s="25"/>
      <c r="R10" s="25"/>
      <c r="S10" s="25"/>
      <c r="T10" s="25"/>
      <c r="U10" s="25"/>
      <c r="V10" s="25"/>
      <c r="W10" s="25"/>
      <c r="X10" s="25"/>
      <c r="Y10" s="25"/>
      <c r="Z10" s="25"/>
      <c r="AA10" s="25"/>
      <c r="AB10" s="25"/>
      <c r="AC10" s="25"/>
    </row>
    <row r="11" spans="1:29" ht="12.5">
      <c r="A11" s="279" t="s">
        <v>298</v>
      </c>
      <c r="B11" s="285">
        <f t="shared" ref="B11:B16" si="0">AVERAGE(C11:D11)</f>
        <v>63</v>
      </c>
      <c r="C11" s="280">
        <v>50</v>
      </c>
      <c r="D11" s="280">
        <v>76</v>
      </c>
      <c r="E11" s="280" t="s">
        <v>299</v>
      </c>
      <c r="F11" s="281" t="s">
        <v>286</v>
      </c>
      <c r="G11" s="282">
        <v>2017</v>
      </c>
      <c r="H11" s="281" t="s">
        <v>287</v>
      </c>
      <c r="I11" s="281" t="s">
        <v>286</v>
      </c>
      <c r="J11" s="281" t="s">
        <v>286</v>
      </c>
      <c r="K11" s="280" t="s">
        <v>288</v>
      </c>
      <c r="L11" s="282" t="s">
        <v>289</v>
      </c>
      <c r="M11" s="222" t="s">
        <v>300</v>
      </c>
      <c r="N11" s="283" t="s">
        <v>291</v>
      </c>
      <c r="O11" s="25"/>
      <c r="P11" s="25"/>
      <c r="Q11" s="25"/>
      <c r="R11" s="25"/>
      <c r="S11" s="25"/>
      <c r="T11" s="25"/>
      <c r="U11" s="25"/>
      <c r="V11" s="25"/>
      <c r="W11" s="25"/>
      <c r="X11" s="25"/>
      <c r="Y11" s="25"/>
      <c r="Z11" s="25"/>
      <c r="AA11" s="25"/>
      <c r="AB11" s="25"/>
      <c r="AC11" s="25"/>
    </row>
    <row r="12" spans="1:29" ht="12.5">
      <c r="A12" s="279" t="s">
        <v>301</v>
      </c>
      <c r="B12" s="286">
        <f t="shared" si="0"/>
        <v>0.92</v>
      </c>
      <c r="C12" s="280">
        <v>0.74</v>
      </c>
      <c r="D12" s="280">
        <v>1.1000000000000001</v>
      </c>
      <c r="E12" s="280" t="s">
        <v>302</v>
      </c>
      <c r="F12" s="281" t="s">
        <v>286</v>
      </c>
      <c r="G12" s="282">
        <v>2017</v>
      </c>
      <c r="H12" s="281" t="s">
        <v>287</v>
      </c>
      <c r="I12" s="281" t="s">
        <v>286</v>
      </c>
      <c r="J12" s="281" t="s">
        <v>286</v>
      </c>
      <c r="K12" s="280" t="s">
        <v>288</v>
      </c>
      <c r="L12" s="282" t="s">
        <v>289</v>
      </c>
      <c r="M12" s="222" t="s">
        <v>300</v>
      </c>
      <c r="N12" s="283" t="s">
        <v>291</v>
      </c>
      <c r="O12" s="25"/>
      <c r="P12" s="25"/>
      <c r="Q12" s="25"/>
      <c r="R12" s="25"/>
      <c r="S12" s="25"/>
      <c r="T12" s="25"/>
      <c r="U12" s="25"/>
      <c r="V12" s="25"/>
      <c r="W12" s="25"/>
      <c r="X12" s="25"/>
      <c r="Y12" s="25"/>
      <c r="Z12" s="25"/>
      <c r="AA12" s="25"/>
      <c r="AB12" s="25"/>
      <c r="AC12" s="25"/>
    </row>
    <row r="13" spans="1:29" ht="12.5">
      <c r="A13" s="279" t="s">
        <v>303</v>
      </c>
      <c r="B13" s="285">
        <f t="shared" si="0"/>
        <v>50.5</v>
      </c>
      <c r="C13" s="280">
        <v>35</v>
      </c>
      <c r="D13" s="280">
        <v>66</v>
      </c>
      <c r="E13" s="280" t="s">
        <v>299</v>
      </c>
      <c r="F13" s="281" t="s">
        <v>286</v>
      </c>
      <c r="G13" s="282">
        <v>2017</v>
      </c>
      <c r="H13" s="281" t="s">
        <v>287</v>
      </c>
      <c r="I13" s="281" t="s">
        <v>286</v>
      </c>
      <c r="J13" s="281" t="s">
        <v>286</v>
      </c>
      <c r="K13" s="280" t="s">
        <v>288</v>
      </c>
      <c r="L13" s="282" t="s">
        <v>289</v>
      </c>
      <c r="M13" s="222" t="s">
        <v>300</v>
      </c>
      <c r="N13" s="283" t="s">
        <v>291</v>
      </c>
      <c r="O13" s="25"/>
      <c r="P13" s="25"/>
      <c r="Q13" s="25"/>
      <c r="R13" s="25"/>
      <c r="S13" s="25"/>
      <c r="T13" s="25"/>
      <c r="U13" s="25"/>
      <c r="V13" s="25"/>
      <c r="W13" s="25"/>
      <c r="X13" s="25"/>
      <c r="Y13" s="25"/>
      <c r="Z13" s="25"/>
      <c r="AA13" s="25"/>
      <c r="AB13" s="25"/>
      <c r="AC13" s="25"/>
    </row>
    <row r="14" spans="1:29" ht="12.5">
      <c r="A14" s="279" t="s">
        <v>304</v>
      </c>
      <c r="B14" s="286">
        <f t="shared" si="0"/>
        <v>0.76500000000000001</v>
      </c>
      <c r="C14" s="280">
        <v>0.53</v>
      </c>
      <c r="D14" s="280">
        <v>1</v>
      </c>
      <c r="E14" s="280" t="s">
        <v>302</v>
      </c>
      <c r="F14" s="281" t="s">
        <v>286</v>
      </c>
      <c r="G14" s="282">
        <v>2017</v>
      </c>
      <c r="H14" s="281" t="s">
        <v>287</v>
      </c>
      <c r="I14" s="281" t="s">
        <v>286</v>
      </c>
      <c r="J14" s="281" t="s">
        <v>286</v>
      </c>
      <c r="K14" s="280" t="s">
        <v>288</v>
      </c>
      <c r="L14" s="282" t="s">
        <v>289</v>
      </c>
      <c r="M14" s="222" t="s">
        <v>300</v>
      </c>
      <c r="N14" s="283" t="s">
        <v>291</v>
      </c>
      <c r="O14" s="25"/>
      <c r="P14" s="25"/>
      <c r="Q14" s="25"/>
      <c r="R14" s="25"/>
      <c r="S14" s="25"/>
      <c r="T14" s="25"/>
      <c r="U14" s="25"/>
      <c r="V14" s="25"/>
      <c r="W14" s="25"/>
      <c r="X14" s="25"/>
      <c r="Y14" s="25"/>
      <c r="Z14" s="25"/>
      <c r="AA14" s="25"/>
      <c r="AB14" s="25"/>
      <c r="AC14" s="25"/>
    </row>
    <row r="15" spans="1:29" ht="12.5">
      <c r="A15" s="279" t="s">
        <v>305</v>
      </c>
      <c r="B15" s="285">
        <f t="shared" si="0"/>
        <v>42.5</v>
      </c>
      <c r="C15" s="280">
        <v>30</v>
      </c>
      <c r="D15" s="280">
        <v>55</v>
      </c>
      <c r="E15" s="280" t="s">
        <v>299</v>
      </c>
      <c r="F15" s="281" t="s">
        <v>286</v>
      </c>
      <c r="G15" s="282">
        <v>2017</v>
      </c>
      <c r="H15" s="281" t="s">
        <v>287</v>
      </c>
      <c r="I15" s="281" t="s">
        <v>286</v>
      </c>
      <c r="J15" s="281" t="s">
        <v>286</v>
      </c>
      <c r="K15" s="280" t="s">
        <v>288</v>
      </c>
      <c r="L15" s="282" t="s">
        <v>289</v>
      </c>
      <c r="M15" s="222" t="s">
        <v>300</v>
      </c>
      <c r="N15" s="283" t="s">
        <v>291</v>
      </c>
      <c r="O15" s="25"/>
      <c r="P15" s="25"/>
      <c r="Q15" s="25"/>
      <c r="R15" s="25"/>
      <c r="S15" s="25"/>
      <c r="T15" s="25"/>
      <c r="U15" s="25"/>
      <c r="V15" s="25"/>
      <c r="W15" s="25"/>
      <c r="X15" s="25"/>
      <c r="Y15" s="25"/>
      <c r="Z15" s="25"/>
      <c r="AA15" s="25"/>
      <c r="AB15" s="25"/>
      <c r="AC15" s="25"/>
    </row>
    <row r="16" spans="1:29" ht="12.5">
      <c r="A16" s="279" t="s">
        <v>306</v>
      </c>
      <c r="B16" s="286">
        <f t="shared" si="0"/>
        <v>0.64</v>
      </c>
      <c r="C16" s="280">
        <v>0.45</v>
      </c>
      <c r="D16" s="280">
        <v>0.83</v>
      </c>
      <c r="E16" s="280" t="s">
        <v>302</v>
      </c>
      <c r="F16" s="281" t="s">
        <v>286</v>
      </c>
      <c r="G16" s="282">
        <v>2017</v>
      </c>
      <c r="H16" s="281" t="s">
        <v>287</v>
      </c>
      <c r="I16" s="281" t="s">
        <v>286</v>
      </c>
      <c r="J16" s="281" t="s">
        <v>286</v>
      </c>
      <c r="K16" s="280" t="s">
        <v>288</v>
      </c>
      <c r="L16" s="282" t="s">
        <v>289</v>
      </c>
      <c r="M16" s="222" t="s">
        <v>300</v>
      </c>
      <c r="N16" s="283" t="s">
        <v>291</v>
      </c>
      <c r="O16" s="25"/>
      <c r="P16" s="25"/>
      <c r="Q16" s="25"/>
      <c r="R16" s="25"/>
      <c r="S16" s="25"/>
      <c r="T16" s="25"/>
      <c r="U16" s="25"/>
      <c r="V16" s="25"/>
      <c r="W16" s="25"/>
      <c r="X16" s="25"/>
      <c r="Y16" s="25"/>
      <c r="Z16" s="25"/>
      <c r="AA16" s="25"/>
      <c r="AB16" s="25"/>
      <c r="AC16" s="25"/>
    </row>
    <row r="17" spans="1:29" ht="12.5">
      <c r="A17" s="279" t="s">
        <v>307</v>
      </c>
      <c r="B17" s="280">
        <v>18.2</v>
      </c>
      <c r="C17" s="218"/>
      <c r="D17" s="218"/>
      <c r="E17" s="280" t="s">
        <v>308</v>
      </c>
      <c r="F17" s="281" t="s">
        <v>286</v>
      </c>
      <c r="G17" s="282">
        <v>2017</v>
      </c>
      <c r="H17" s="281" t="s">
        <v>309</v>
      </c>
      <c r="I17" s="281" t="s">
        <v>286</v>
      </c>
      <c r="J17" s="281" t="s">
        <v>286</v>
      </c>
      <c r="K17" s="222" t="s">
        <v>288</v>
      </c>
      <c r="L17" s="282" t="s">
        <v>289</v>
      </c>
      <c r="M17" s="222"/>
      <c r="N17" s="284" t="s">
        <v>310</v>
      </c>
      <c r="O17" s="25"/>
      <c r="P17" s="25"/>
      <c r="Q17" s="25"/>
      <c r="R17" s="25"/>
      <c r="S17" s="25"/>
      <c r="T17" s="25"/>
      <c r="U17" s="25"/>
      <c r="V17" s="25"/>
      <c r="W17" s="25"/>
      <c r="X17" s="25"/>
      <c r="Y17" s="25"/>
      <c r="Z17" s="25"/>
      <c r="AA17" s="25"/>
      <c r="AB17" s="25"/>
      <c r="AC17" s="25"/>
    </row>
    <row r="18" spans="1:29" ht="12.5">
      <c r="A18" s="279" t="s">
        <v>311</v>
      </c>
      <c r="B18" s="280">
        <v>43.2</v>
      </c>
      <c r="C18" s="280"/>
      <c r="D18" s="280"/>
      <c r="E18" s="280" t="s">
        <v>312</v>
      </c>
      <c r="F18" s="281" t="s">
        <v>286</v>
      </c>
      <c r="G18" s="282">
        <v>2017</v>
      </c>
      <c r="H18" s="281" t="s">
        <v>287</v>
      </c>
      <c r="I18" s="281" t="s">
        <v>286</v>
      </c>
      <c r="J18" s="281" t="s">
        <v>286</v>
      </c>
      <c r="K18" s="222" t="s">
        <v>288</v>
      </c>
      <c r="L18" s="282" t="s">
        <v>289</v>
      </c>
      <c r="M18" s="222"/>
      <c r="N18" s="284" t="s">
        <v>291</v>
      </c>
      <c r="O18" s="25"/>
      <c r="P18" s="25"/>
      <c r="Q18" s="25"/>
      <c r="R18" s="25"/>
      <c r="S18" s="25"/>
      <c r="T18" s="25"/>
      <c r="U18" s="25"/>
      <c r="V18" s="25"/>
      <c r="W18" s="25"/>
      <c r="X18" s="25"/>
      <c r="Y18" s="25"/>
      <c r="Z18" s="25"/>
      <c r="AA18" s="25"/>
      <c r="AB18" s="25"/>
      <c r="AC18" s="25"/>
    </row>
    <row r="19" spans="1:29" ht="12.5">
      <c r="A19" s="279" t="s">
        <v>313</v>
      </c>
      <c r="B19" s="280">
        <v>800</v>
      </c>
      <c r="C19" s="280"/>
      <c r="D19" s="280"/>
      <c r="E19" s="280" t="s">
        <v>314</v>
      </c>
      <c r="F19" s="281" t="s">
        <v>286</v>
      </c>
      <c r="G19" s="282">
        <v>2017</v>
      </c>
      <c r="H19" s="281" t="s">
        <v>287</v>
      </c>
      <c r="I19" s="281" t="s">
        <v>286</v>
      </c>
      <c r="J19" s="281" t="s">
        <v>286</v>
      </c>
      <c r="K19" s="222" t="s">
        <v>288</v>
      </c>
      <c r="L19" s="282" t="s">
        <v>289</v>
      </c>
      <c r="M19" s="222"/>
      <c r="N19" s="283" t="s">
        <v>315</v>
      </c>
      <c r="O19" s="25"/>
      <c r="P19" s="25"/>
      <c r="Q19" s="25"/>
      <c r="R19" s="25"/>
      <c r="S19" s="25"/>
      <c r="T19" s="25"/>
      <c r="U19" s="25"/>
      <c r="V19" s="25"/>
      <c r="W19" s="25"/>
      <c r="X19" s="25"/>
      <c r="Y19" s="25"/>
      <c r="Z19" s="25"/>
      <c r="AA19" s="25"/>
      <c r="AB19" s="25"/>
      <c r="AC19" s="25"/>
    </row>
    <row r="20" spans="1:29" ht="12.5">
      <c r="A20" s="279" t="s">
        <v>316</v>
      </c>
      <c r="B20" s="280">
        <f>AVERAGE(C20:D20)</f>
        <v>11</v>
      </c>
      <c r="C20" s="280">
        <v>2</v>
      </c>
      <c r="D20" s="280">
        <v>20</v>
      </c>
      <c r="E20" s="280" t="s">
        <v>317</v>
      </c>
      <c r="F20" s="281" t="s">
        <v>286</v>
      </c>
      <c r="G20" s="282">
        <v>2012</v>
      </c>
      <c r="H20" s="282" t="s">
        <v>318</v>
      </c>
      <c r="I20" s="281" t="s">
        <v>286</v>
      </c>
      <c r="J20" s="281" t="s">
        <v>286</v>
      </c>
      <c r="K20" s="280" t="s">
        <v>288</v>
      </c>
      <c r="L20" s="282" t="s">
        <v>289</v>
      </c>
      <c r="M20" s="218"/>
      <c r="N20" s="287" t="s">
        <v>319</v>
      </c>
      <c r="O20" s="201"/>
      <c r="P20" s="201"/>
      <c r="Q20" s="25"/>
      <c r="R20" s="25"/>
      <c r="S20" s="25"/>
      <c r="T20" s="25"/>
      <c r="U20" s="25"/>
      <c r="V20" s="25"/>
      <c r="W20" s="25"/>
      <c r="X20" s="25"/>
      <c r="Y20" s="25"/>
      <c r="Z20" s="25"/>
      <c r="AA20" s="25"/>
      <c r="AB20" s="25"/>
      <c r="AC20" s="25"/>
    </row>
    <row r="21" spans="1:29" ht="12.5">
      <c r="A21" s="279" t="s">
        <v>320</v>
      </c>
      <c r="B21" s="280">
        <v>141</v>
      </c>
      <c r="C21" s="218"/>
      <c r="D21" s="218"/>
      <c r="E21" s="280" t="s">
        <v>321</v>
      </c>
      <c r="F21" s="281" t="s">
        <v>286</v>
      </c>
      <c r="G21" s="281">
        <v>2020</v>
      </c>
      <c r="H21" s="281" t="s">
        <v>287</v>
      </c>
      <c r="I21" s="281" t="s">
        <v>286</v>
      </c>
      <c r="J21" s="281" t="s">
        <v>286</v>
      </c>
      <c r="K21" s="280" t="s">
        <v>288</v>
      </c>
      <c r="L21" s="281" t="s">
        <v>286</v>
      </c>
      <c r="M21" s="280"/>
      <c r="N21" s="288" t="s">
        <v>322</v>
      </c>
      <c r="O21" s="201"/>
      <c r="P21" s="201"/>
      <c r="Q21" s="201"/>
      <c r="R21" s="25"/>
      <c r="S21" s="25"/>
      <c r="T21" s="25"/>
      <c r="U21" s="25"/>
      <c r="V21" s="25"/>
      <c r="W21" s="25"/>
      <c r="X21" s="25"/>
      <c r="Y21" s="25"/>
      <c r="Z21" s="25"/>
      <c r="AA21" s="25"/>
      <c r="AB21" s="25"/>
      <c r="AC21" s="25"/>
    </row>
    <row r="22" spans="1:29" ht="12.5">
      <c r="A22" s="279" t="s">
        <v>323</v>
      </c>
      <c r="B22" s="280">
        <v>198</v>
      </c>
      <c r="C22" s="218"/>
      <c r="D22" s="218"/>
      <c r="E22" s="280" t="s">
        <v>321</v>
      </c>
      <c r="F22" s="281" t="s">
        <v>286</v>
      </c>
      <c r="G22" s="281">
        <v>2019</v>
      </c>
      <c r="H22" s="281" t="s">
        <v>287</v>
      </c>
      <c r="I22" s="281" t="s">
        <v>286</v>
      </c>
      <c r="J22" s="281" t="s">
        <v>286</v>
      </c>
      <c r="K22" s="280" t="s">
        <v>288</v>
      </c>
      <c r="L22" s="281" t="s">
        <v>286</v>
      </c>
      <c r="M22" s="280"/>
      <c r="N22" s="288" t="s">
        <v>324</v>
      </c>
      <c r="O22" s="201"/>
      <c r="P22" s="201"/>
      <c r="Q22" s="201"/>
      <c r="R22" s="25"/>
      <c r="S22" s="25"/>
      <c r="T22" s="25"/>
      <c r="U22" s="25"/>
      <c r="V22" s="25"/>
      <c r="W22" s="25"/>
      <c r="X22" s="25"/>
      <c r="Y22" s="25"/>
      <c r="Z22" s="25"/>
      <c r="AA22" s="25"/>
      <c r="AB22" s="25"/>
      <c r="AC22" s="25"/>
    </row>
    <row r="23" spans="1:29" ht="12.5">
      <c r="A23" s="218" t="s">
        <v>325</v>
      </c>
      <c r="B23" s="222">
        <v>50</v>
      </c>
      <c r="C23" s="221"/>
      <c r="D23" s="221"/>
      <c r="E23" s="222" t="s">
        <v>312</v>
      </c>
      <c r="F23" s="281" t="s">
        <v>286</v>
      </c>
      <c r="G23" s="282">
        <v>2016</v>
      </c>
      <c r="H23" s="281" t="s">
        <v>287</v>
      </c>
      <c r="I23" s="281" t="s">
        <v>286</v>
      </c>
      <c r="J23" s="281" t="s">
        <v>286</v>
      </c>
      <c r="K23" s="280" t="s">
        <v>288</v>
      </c>
      <c r="L23" s="282" t="s">
        <v>289</v>
      </c>
      <c r="M23" s="222"/>
      <c r="N23" s="236" t="s">
        <v>326</v>
      </c>
    </row>
    <row r="24" spans="1:29" ht="12.5">
      <c r="A24" s="218" t="s">
        <v>325</v>
      </c>
      <c r="B24" s="222">
        <v>13.9</v>
      </c>
      <c r="C24" s="221"/>
      <c r="D24" s="221"/>
      <c r="E24" s="222" t="s">
        <v>327</v>
      </c>
      <c r="F24" s="281" t="s">
        <v>286</v>
      </c>
      <c r="G24" s="282">
        <v>2016</v>
      </c>
      <c r="H24" s="281" t="s">
        <v>287</v>
      </c>
      <c r="I24" s="281" t="s">
        <v>286</v>
      </c>
      <c r="J24" s="281" t="s">
        <v>286</v>
      </c>
      <c r="K24" s="280" t="s">
        <v>288</v>
      </c>
      <c r="L24" s="282" t="s">
        <v>289</v>
      </c>
      <c r="M24" s="222"/>
      <c r="N24" s="236" t="s">
        <v>326</v>
      </c>
    </row>
    <row r="25" spans="1:29" ht="12.5">
      <c r="A25" s="218" t="s">
        <v>328</v>
      </c>
      <c r="B25" s="222">
        <v>2.1000000000000001E-2</v>
      </c>
      <c r="C25" s="221"/>
      <c r="D25" s="221"/>
      <c r="E25" s="222" t="s">
        <v>314</v>
      </c>
      <c r="F25" s="281" t="s">
        <v>286</v>
      </c>
      <c r="G25" s="281">
        <v>2020</v>
      </c>
      <c r="H25" s="281" t="s">
        <v>318</v>
      </c>
      <c r="I25" s="281" t="s">
        <v>286</v>
      </c>
      <c r="J25" s="281" t="s">
        <v>286</v>
      </c>
      <c r="K25" s="280" t="s">
        <v>288</v>
      </c>
      <c r="L25" s="282" t="s">
        <v>289</v>
      </c>
      <c r="M25" s="222"/>
      <c r="N25" s="236" t="s">
        <v>329</v>
      </c>
    </row>
    <row r="26" spans="1:29" ht="12.5">
      <c r="A26" s="218" t="s">
        <v>330</v>
      </c>
      <c r="B26" s="222">
        <v>55.3</v>
      </c>
      <c r="C26" s="221"/>
      <c r="D26" s="221"/>
      <c r="E26" s="280" t="s">
        <v>308</v>
      </c>
      <c r="F26" s="281" t="s">
        <v>286</v>
      </c>
      <c r="G26" s="281">
        <v>2020</v>
      </c>
      <c r="H26" s="281" t="s">
        <v>287</v>
      </c>
      <c r="I26" s="281" t="s">
        <v>286</v>
      </c>
      <c r="J26" s="281" t="s">
        <v>286</v>
      </c>
      <c r="K26" s="280" t="s">
        <v>288</v>
      </c>
      <c r="L26" s="281" t="s">
        <v>286</v>
      </c>
      <c r="M26" s="222"/>
      <c r="N26" s="236" t="s">
        <v>331</v>
      </c>
    </row>
    <row r="27" spans="1:29" ht="12.5">
      <c r="A27" s="218" t="s">
        <v>332</v>
      </c>
      <c r="B27" s="222">
        <v>0</v>
      </c>
      <c r="C27" s="289"/>
      <c r="D27" s="289"/>
      <c r="E27" s="289"/>
      <c r="F27" s="289"/>
      <c r="G27" s="289"/>
      <c r="H27" s="289"/>
      <c r="I27" s="289"/>
      <c r="J27" s="289"/>
      <c r="K27" s="289"/>
      <c r="L27" s="289"/>
      <c r="M27" s="222"/>
      <c r="N27" s="222"/>
    </row>
    <row r="28" spans="1:29" ht="12.5">
      <c r="A28" s="279" t="s">
        <v>333</v>
      </c>
      <c r="B28" s="280">
        <f>0.95</f>
        <v>0.95</v>
      </c>
      <c r="C28" s="218"/>
      <c r="D28" s="218"/>
      <c r="E28" s="280" t="s">
        <v>334</v>
      </c>
      <c r="F28" s="281" t="s">
        <v>286</v>
      </c>
      <c r="G28" s="281">
        <v>2020</v>
      </c>
      <c r="H28" s="281" t="s">
        <v>287</v>
      </c>
      <c r="I28" s="281" t="s">
        <v>286</v>
      </c>
      <c r="J28" s="281" t="s">
        <v>286</v>
      </c>
      <c r="K28" s="280" t="s">
        <v>288</v>
      </c>
      <c r="L28" s="281" t="s">
        <v>286</v>
      </c>
      <c r="M28" s="280" t="s">
        <v>335</v>
      </c>
      <c r="N28" s="283" t="s">
        <v>336</v>
      </c>
      <c r="O28" s="25"/>
      <c r="P28" s="25"/>
      <c r="Q28" s="25"/>
      <c r="R28" s="25"/>
      <c r="S28" s="25"/>
      <c r="T28" s="25"/>
      <c r="U28" s="25"/>
      <c r="V28" s="25"/>
      <c r="W28" s="25"/>
      <c r="X28" s="25"/>
      <c r="Y28" s="25"/>
    </row>
    <row r="29" spans="1:29" ht="12.5">
      <c r="A29" s="218" t="s">
        <v>337</v>
      </c>
      <c r="B29" s="222">
        <v>0.71</v>
      </c>
      <c r="C29" s="221"/>
      <c r="D29" s="221"/>
      <c r="E29" s="222" t="s">
        <v>314</v>
      </c>
      <c r="F29" s="281" t="s">
        <v>286</v>
      </c>
      <c r="G29" s="281">
        <v>2020</v>
      </c>
      <c r="H29" s="281" t="s">
        <v>318</v>
      </c>
      <c r="I29" s="281" t="s">
        <v>286</v>
      </c>
      <c r="J29" s="281" t="s">
        <v>286</v>
      </c>
      <c r="K29" s="280" t="s">
        <v>288</v>
      </c>
      <c r="L29" s="281" t="s">
        <v>286</v>
      </c>
      <c r="M29" s="222"/>
      <c r="N29" s="236" t="s">
        <v>329</v>
      </c>
    </row>
    <row r="30" spans="1:29" ht="12.5">
      <c r="B30" s="16"/>
      <c r="C30" s="13"/>
      <c r="D30" s="13"/>
      <c r="E30" s="16"/>
      <c r="M30" s="13"/>
      <c r="N30" s="13"/>
    </row>
    <row r="31" spans="1:29" ht="12.5">
      <c r="M31" s="13"/>
      <c r="N31" s="13"/>
    </row>
    <row r="32" spans="1:29" ht="12.5">
      <c r="M32" s="13"/>
      <c r="N32" s="13"/>
    </row>
    <row r="33" spans="13:14" ht="12.5">
      <c r="M33" s="13"/>
      <c r="N33" s="13"/>
    </row>
    <row r="34" spans="13:14" ht="12.5">
      <c r="M34" s="13"/>
      <c r="N34" s="13"/>
    </row>
    <row r="35" spans="13:14" ht="12.5">
      <c r="M35" s="13"/>
      <c r="N35" s="13"/>
    </row>
    <row r="36" spans="13:14" ht="12.5">
      <c r="M36" s="13"/>
      <c r="N36" s="13"/>
    </row>
    <row r="37" spans="13:14" ht="12.5">
      <c r="M37" s="13"/>
      <c r="N37" s="13"/>
    </row>
    <row r="38" spans="13:14" ht="12.5">
      <c r="M38" s="13"/>
      <c r="N38" s="13"/>
    </row>
    <row r="39" spans="13:14" ht="12.5">
      <c r="M39" s="13"/>
      <c r="N39" s="13"/>
    </row>
    <row r="40" spans="13:14" ht="12.5">
      <c r="M40" s="13"/>
      <c r="N40" s="13"/>
    </row>
    <row r="41" spans="13:14" ht="12.5">
      <c r="M41" s="13"/>
      <c r="N41" s="13"/>
    </row>
    <row r="42" spans="13:14" ht="12.5">
      <c r="M42" s="13"/>
      <c r="N42" s="13"/>
    </row>
    <row r="43" spans="13:14" ht="12.5">
      <c r="M43" s="13"/>
      <c r="N43" s="13"/>
    </row>
    <row r="44" spans="13:14" ht="12.5">
      <c r="M44" s="13"/>
      <c r="N44" s="13"/>
    </row>
    <row r="45" spans="13:14" ht="12.5">
      <c r="M45" s="13"/>
      <c r="N45" s="13"/>
    </row>
    <row r="46" spans="13:14" ht="12.5">
      <c r="M46" s="13"/>
      <c r="N46" s="13"/>
    </row>
    <row r="47" spans="13:14" ht="12.5">
      <c r="M47" s="13"/>
      <c r="N47" s="13"/>
    </row>
    <row r="48" spans="13:14" ht="12.5">
      <c r="M48" s="13"/>
      <c r="N48" s="13"/>
    </row>
    <row r="49" spans="13:14" ht="12.5">
      <c r="M49" s="13"/>
      <c r="N49" s="13"/>
    </row>
    <row r="50" spans="13:14" ht="12.5">
      <c r="M50" s="13"/>
      <c r="N50" s="13"/>
    </row>
    <row r="51" spans="13:14" ht="12.5">
      <c r="M51" s="13"/>
      <c r="N51" s="13"/>
    </row>
    <row r="52" spans="13:14" ht="12.5">
      <c r="M52" s="13"/>
      <c r="N52" s="13"/>
    </row>
    <row r="53" spans="13:14" ht="12.5">
      <c r="M53" s="13"/>
      <c r="N53" s="13"/>
    </row>
    <row r="54" spans="13:14" ht="12.5">
      <c r="M54" s="13"/>
      <c r="N54" s="13"/>
    </row>
    <row r="55" spans="13:14" ht="12.5">
      <c r="M55" s="13"/>
      <c r="N55" s="13"/>
    </row>
    <row r="56" spans="13:14" ht="12.5">
      <c r="M56" s="13"/>
      <c r="N56" s="13"/>
    </row>
    <row r="57" spans="13:14" ht="12.5">
      <c r="M57" s="13"/>
      <c r="N57" s="13"/>
    </row>
    <row r="58" spans="13:14" ht="12.5">
      <c r="M58" s="13"/>
      <c r="N58" s="13"/>
    </row>
    <row r="59" spans="13:14" ht="12.5">
      <c r="M59" s="13"/>
      <c r="N59" s="13"/>
    </row>
    <row r="60" spans="13:14" ht="12.5">
      <c r="M60" s="13"/>
      <c r="N60" s="13"/>
    </row>
    <row r="61" spans="13:14" ht="12.5">
      <c r="M61" s="13"/>
      <c r="N61" s="13"/>
    </row>
    <row r="62" spans="13:14" ht="12.5">
      <c r="M62" s="13"/>
      <c r="N62" s="13"/>
    </row>
    <row r="63" spans="13:14" ht="12.5">
      <c r="M63" s="13"/>
      <c r="N63" s="13"/>
    </row>
    <row r="64" spans="13:14" ht="12.5">
      <c r="M64" s="13"/>
      <c r="N64" s="13"/>
    </row>
    <row r="65" spans="13:14" ht="12.5">
      <c r="M65" s="13"/>
      <c r="N65" s="13"/>
    </row>
    <row r="66" spans="13:14" ht="12.5">
      <c r="M66" s="13"/>
      <c r="N66" s="13"/>
    </row>
    <row r="67" spans="13:14" ht="12.5">
      <c r="M67" s="13"/>
      <c r="N67" s="13"/>
    </row>
    <row r="68" spans="13:14" ht="12.5">
      <c r="M68" s="13"/>
      <c r="N68" s="13"/>
    </row>
    <row r="69" spans="13:14" ht="12.5">
      <c r="M69" s="13"/>
      <c r="N69" s="13"/>
    </row>
    <row r="70" spans="13:14" ht="12.5">
      <c r="M70" s="13"/>
      <c r="N70" s="13"/>
    </row>
    <row r="71" spans="13:14" ht="12.5">
      <c r="M71" s="13"/>
      <c r="N71" s="13"/>
    </row>
    <row r="72" spans="13:14" ht="12.5">
      <c r="M72" s="13"/>
      <c r="N72" s="13"/>
    </row>
    <row r="73" spans="13:14" ht="12.5">
      <c r="M73" s="13"/>
      <c r="N73" s="13"/>
    </row>
    <row r="74" spans="13:14" ht="12.5">
      <c r="M74" s="13"/>
      <c r="N74" s="13"/>
    </row>
    <row r="75" spans="13:14" ht="12.5">
      <c r="M75" s="13"/>
      <c r="N75" s="13"/>
    </row>
    <row r="76" spans="13:14" ht="12.5">
      <c r="M76" s="13"/>
      <c r="N76" s="13"/>
    </row>
    <row r="77" spans="13:14" ht="12.5">
      <c r="M77" s="13"/>
      <c r="N77" s="13"/>
    </row>
    <row r="78" spans="13:14" ht="12.5">
      <c r="M78" s="13"/>
      <c r="N78" s="13"/>
    </row>
    <row r="79" spans="13:14" ht="12.5">
      <c r="M79" s="13"/>
      <c r="N79" s="13"/>
    </row>
    <row r="80" spans="13:14" ht="12.5">
      <c r="M80" s="13"/>
      <c r="N80" s="13"/>
    </row>
    <row r="81" spans="13:14" ht="12.5">
      <c r="M81" s="13"/>
      <c r="N81" s="13"/>
    </row>
    <row r="82" spans="13:14" ht="12.5">
      <c r="M82" s="13"/>
      <c r="N82" s="13"/>
    </row>
    <row r="83" spans="13:14" ht="12.5">
      <c r="M83" s="13"/>
      <c r="N83" s="13"/>
    </row>
    <row r="84" spans="13:14" ht="12.5">
      <c r="M84" s="13"/>
      <c r="N84" s="13"/>
    </row>
    <row r="85" spans="13:14" ht="12.5">
      <c r="M85" s="13"/>
      <c r="N85" s="13"/>
    </row>
    <row r="86" spans="13:14" ht="12.5">
      <c r="M86" s="13"/>
      <c r="N86" s="13"/>
    </row>
    <row r="87" spans="13:14" ht="12.5">
      <c r="M87" s="13"/>
      <c r="N87" s="13"/>
    </row>
    <row r="88" spans="13:14" ht="12.5">
      <c r="M88" s="13"/>
      <c r="N88" s="13"/>
    </row>
    <row r="89" spans="13:14" ht="12.5">
      <c r="M89" s="13"/>
      <c r="N89" s="13"/>
    </row>
    <row r="90" spans="13:14" ht="12.5">
      <c r="M90" s="13"/>
      <c r="N90" s="13"/>
    </row>
    <row r="91" spans="13:14" ht="12.5">
      <c r="M91" s="13"/>
      <c r="N91" s="13"/>
    </row>
    <row r="92" spans="13:14" ht="12.5">
      <c r="M92" s="13"/>
      <c r="N92" s="13"/>
    </row>
    <row r="93" spans="13:14" ht="12.5">
      <c r="M93" s="13"/>
      <c r="N93" s="13"/>
    </row>
    <row r="94" spans="13:14" ht="12.5">
      <c r="M94" s="13"/>
      <c r="N94" s="13"/>
    </row>
    <row r="95" spans="13:14" ht="12.5">
      <c r="M95" s="13"/>
      <c r="N95" s="13"/>
    </row>
    <row r="96" spans="13:14" ht="12.5">
      <c r="M96" s="13"/>
      <c r="N96" s="13"/>
    </row>
    <row r="97" spans="13:14" ht="12.5">
      <c r="M97" s="13"/>
      <c r="N97" s="13"/>
    </row>
    <row r="98" spans="13:14" ht="12.5">
      <c r="M98" s="13"/>
      <c r="N98" s="13"/>
    </row>
    <row r="99" spans="13:14" ht="12.5">
      <c r="M99" s="13"/>
      <c r="N99" s="13"/>
    </row>
    <row r="100" spans="13:14" ht="12.5">
      <c r="M100" s="13"/>
      <c r="N100" s="13"/>
    </row>
    <row r="101" spans="13:14" ht="12.5">
      <c r="M101" s="13"/>
      <c r="N101" s="13"/>
    </row>
    <row r="102" spans="13:14" ht="12.5">
      <c r="M102" s="13"/>
      <c r="N102" s="13"/>
    </row>
    <row r="103" spans="13:14" ht="12.5">
      <c r="M103" s="13"/>
      <c r="N103" s="13"/>
    </row>
    <row r="104" spans="13:14" ht="12.5">
      <c r="M104" s="13"/>
      <c r="N104" s="13"/>
    </row>
    <row r="105" spans="13:14" ht="12.5">
      <c r="M105" s="13"/>
      <c r="N105" s="13"/>
    </row>
    <row r="106" spans="13:14" ht="12.5">
      <c r="M106" s="13"/>
      <c r="N106" s="13"/>
    </row>
    <row r="107" spans="13:14" ht="12.5">
      <c r="M107" s="13"/>
      <c r="N107" s="13"/>
    </row>
    <row r="108" spans="13:14" ht="12.5">
      <c r="M108" s="13"/>
      <c r="N108" s="13"/>
    </row>
    <row r="109" spans="13:14" ht="12.5">
      <c r="M109" s="13"/>
      <c r="N109" s="13"/>
    </row>
    <row r="110" spans="13:14" ht="12.5">
      <c r="M110" s="13"/>
      <c r="N110" s="13"/>
    </row>
    <row r="111" spans="13:14" ht="12.5">
      <c r="M111" s="13"/>
      <c r="N111" s="13"/>
    </row>
    <row r="112" spans="13:14" ht="12.5">
      <c r="M112" s="13"/>
      <c r="N112" s="13"/>
    </row>
    <row r="113" spans="13:14" ht="12.5">
      <c r="M113" s="13"/>
      <c r="N113" s="13"/>
    </row>
    <row r="114" spans="13:14" ht="12.5">
      <c r="M114" s="13"/>
      <c r="N114" s="13"/>
    </row>
    <row r="115" spans="13:14" ht="12.5">
      <c r="M115" s="13"/>
      <c r="N115" s="13"/>
    </row>
    <row r="116" spans="13:14" ht="12.5">
      <c r="M116" s="13"/>
      <c r="N116" s="13"/>
    </row>
    <row r="117" spans="13:14" ht="12.5">
      <c r="M117" s="13"/>
      <c r="N117" s="13"/>
    </row>
    <row r="118" spans="13:14" ht="12.5">
      <c r="M118" s="13"/>
      <c r="N118" s="13"/>
    </row>
    <row r="119" spans="13:14" ht="12.5">
      <c r="M119" s="13"/>
      <c r="N119" s="13"/>
    </row>
    <row r="120" spans="13:14" ht="12.5">
      <c r="M120" s="13"/>
      <c r="N120" s="13"/>
    </row>
    <row r="121" spans="13:14" ht="12.5">
      <c r="M121" s="13"/>
      <c r="N121" s="13"/>
    </row>
    <row r="122" spans="13:14" ht="12.5">
      <c r="M122" s="13"/>
      <c r="N122" s="13"/>
    </row>
    <row r="123" spans="13:14" ht="12.5">
      <c r="M123" s="13"/>
      <c r="N123" s="13"/>
    </row>
    <row r="124" spans="13:14" ht="12.5">
      <c r="M124" s="13"/>
      <c r="N124" s="13"/>
    </row>
    <row r="125" spans="13:14" ht="12.5">
      <c r="M125" s="13"/>
      <c r="N125" s="13"/>
    </row>
    <row r="126" spans="13:14" ht="12.5">
      <c r="M126" s="13"/>
      <c r="N126" s="13"/>
    </row>
    <row r="127" spans="13:14" ht="12.5">
      <c r="M127" s="13"/>
      <c r="N127" s="13"/>
    </row>
    <row r="128" spans="13:14" ht="12.5">
      <c r="M128" s="13"/>
      <c r="N128" s="13"/>
    </row>
    <row r="129" spans="13:14" ht="12.5">
      <c r="M129" s="13"/>
      <c r="N129" s="13"/>
    </row>
    <row r="130" spans="13:14" ht="12.5">
      <c r="M130" s="13"/>
      <c r="N130" s="13"/>
    </row>
    <row r="131" spans="13:14" ht="12.5">
      <c r="M131" s="13"/>
      <c r="N131" s="13"/>
    </row>
    <row r="132" spans="13:14" ht="12.5">
      <c r="M132" s="13"/>
      <c r="N132" s="13"/>
    </row>
    <row r="133" spans="13:14" ht="12.5">
      <c r="M133" s="13"/>
      <c r="N133" s="13"/>
    </row>
    <row r="134" spans="13:14" ht="12.5">
      <c r="M134" s="13"/>
      <c r="N134" s="13"/>
    </row>
    <row r="135" spans="13:14" ht="12.5">
      <c r="M135" s="13"/>
      <c r="N135" s="13"/>
    </row>
    <row r="136" spans="13:14" ht="12.5">
      <c r="M136" s="13"/>
      <c r="N136" s="13"/>
    </row>
    <row r="137" spans="13:14" ht="12.5">
      <c r="M137" s="13"/>
      <c r="N137" s="13"/>
    </row>
    <row r="138" spans="13:14" ht="12.5">
      <c r="M138" s="13"/>
      <c r="N138" s="13"/>
    </row>
    <row r="139" spans="13:14" ht="12.5">
      <c r="M139" s="13"/>
      <c r="N139" s="13"/>
    </row>
    <row r="140" spans="13:14" ht="12.5">
      <c r="M140" s="13"/>
      <c r="N140" s="13"/>
    </row>
    <row r="141" spans="13:14" ht="12.5">
      <c r="M141" s="13"/>
      <c r="N141" s="13"/>
    </row>
    <row r="142" spans="13:14" ht="12.5">
      <c r="M142" s="13"/>
      <c r="N142" s="13"/>
    </row>
    <row r="143" spans="13:14" ht="12.5">
      <c r="M143" s="13"/>
      <c r="N143" s="13"/>
    </row>
    <row r="144" spans="13:14" ht="12.5">
      <c r="M144" s="13"/>
      <c r="N144" s="13"/>
    </row>
    <row r="145" spans="13:14" ht="12.5">
      <c r="M145" s="13"/>
      <c r="N145" s="13"/>
    </row>
    <row r="146" spans="13:14" ht="12.5">
      <c r="M146" s="13"/>
      <c r="N146" s="13"/>
    </row>
    <row r="147" spans="13:14" ht="12.5">
      <c r="M147" s="13"/>
      <c r="N147" s="13"/>
    </row>
    <row r="148" spans="13:14" ht="12.5">
      <c r="M148" s="13"/>
      <c r="N148" s="13"/>
    </row>
    <row r="149" spans="13:14" ht="12.5">
      <c r="M149" s="13"/>
      <c r="N149" s="13"/>
    </row>
    <row r="150" spans="13:14" ht="12.5">
      <c r="M150" s="13"/>
      <c r="N150" s="13"/>
    </row>
    <row r="151" spans="13:14" ht="12.5">
      <c r="M151" s="13"/>
      <c r="N151" s="13"/>
    </row>
    <row r="152" spans="13:14" ht="12.5">
      <c r="M152" s="13"/>
      <c r="N152" s="13"/>
    </row>
    <row r="153" spans="13:14" ht="12.5">
      <c r="M153" s="13"/>
      <c r="N153" s="13"/>
    </row>
    <row r="154" spans="13:14" ht="12.5">
      <c r="M154" s="13"/>
      <c r="N154" s="13"/>
    </row>
    <row r="155" spans="13:14" ht="12.5">
      <c r="M155" s="13"/>
      <c r="N155" s="13"/>
    </row>
    <row r="156" spans="13:14" ht="12.5">
      <c r="M156" s="13"/>
      <c r="N156" s="13"/>
    </row>
    <row r="157" spans="13:14" ht="12.5">
      <c r="M157" s="13"/>
      <c r="N157" s="13"/>
    </row>
    <row r="158" spans="13:14" ht="12.5">
      <c r="M158" s="13"/>
      <c r="N158" s="13"/>
    </row>
    <row r="159" spans="13:14" ht="12.5">
      <c r="M159" s="13"/>
      <c r="N159" s="13"/>
    </row>
    <row r="160" spans="13:14" ht="12.5">
      <c r="M160" s="13"/>
      <c r="N160" s="13"/>
    </row>
    <row r="161" spans="13:14" ht="12.5">
      <c r="M161" s="13"/>
      <c r="N161" s="13"/>
    </row>
    <row r="162" spans="13:14" ht="12.5">
      <c r="M162" s="13"/>
      <c r="N162" s="13"/>
    </row>
    <row r="163" spans="13:14" ht="12.5">
      <c r="M163" s="13"/>
      <c r="N163" s="13"/>
    </row>
    <row r="164" spans="13:14" ht="12.5">
      <c r="M164" s="13"/>
      <c r="N164" s="13"/>
    </row>
    <row r="165" spans="13:14" ht="12.5">
      <c r="M165" s="13"/>
      <c r="N165" s="13"/>
    </row>
    <row r="166" spans="13:14" ht="12.5">
      <c r="M166" s="13"/>
      <c r="N166" s="13"/>
    </row>
    <row r="167" spans="13:14" ht="12.5">
      <c r="M167" s="13"/>
      <c r="N167" s="13"/>
    </row>
    <row r="168" spans="13:14" ht="12.5">
      <c r="M168" s="13"/>
      <c r="N168" s="13"/>
    </row>
    <row r="169" spans="13:14" ht="12.5">
      <c r="M169" s="13"/>
      <c r="N169" s="13"/>
    </row>
    <row r="170" spans="13:14" ht="12.5">
      <c r="M170" s="13"/>
      <c r="N170" s="13"/>
    </row>
    <row r="171" spans="13:14" ht="12.5">
      <c r="M171" s="13"/>
      <c r="N171" s="13"/>
    </row>
    <row r="172" spans="13:14" ht="12.5">
      <c r="M172" s="13"/>
      <c r="N172" s="13"/>
    </row>
    <row r="173" spans="13:14" ht="12.5">
      <c r="M173" s="13"/>
      <c r="N173" s="13"/>
    </row>
    <row r="174" spans="13:14" ht="12.5">
      <c r="M174" s="13"/>
      <c r="N174" s="13"/>
    </row>
    <row r="175" spans="13:14" ht="12.5">
      <c r="M175" s="13"/>
      <c r="N175" s="13"/>
    </row>
    <row r="176" spans="13:14" ht="12.5">
      <c r="M176" s="13"/>
      <c r="N176" s="13"/>
    </row>
    <row r="177" spans="13:14" ht="12.5">
      <c r="M177" s="13"/>
      <c r="N177" s="13"/>
    </row>
    <row r="178" spans="13:14" ht="12.5">
      <c r="M178" s="13"/>
      <c r="N178" s="13"/>
    </row>
    <row r="179" spans="13:14" ht="12.5">
      <c r="M179" s="13"/>
      <c r="N179" s="13"/>
    </row>
    <row r="180" spans="13:14" ht="12.5">
      <c r="M180" s="13"/>
      <c r="N180" s="13"/>
    </row>
    <row r="181" spans="13:14" ht="12.5">
      <c r="M181" s="13"/>
      <c r="N181" s="13"/>
    </row>
    <row r="182" spans="13:14" ht="12.5">
      <c r="M182" s="13"/>
      <c r="N182" s="13"/>
    </row>
    <row r="183" spans="13:14" ht="12.5">
      <c r="M183" s="13"/>
      <c r="N183" s="13"/>
    </row>
    <row r="184" spans="13:14" ht="12.5">
      <c r="M184" s="13"/>
      <c r="N184" s="13"/>
    </row>
    <row r="185" spans="13:14" ht="12.5">
      <c r="M185" s="13"/>
      <c r="N185" s="13"/>
    </row>
    <row r="186" spans="13:14" ht="12.5">
      <c r="M186" s="13"/>
      <c r="N186" s="13"/>
    </row>
    <row r="187" spans="13:14" ht="12.5">
      <c r="M187" s="13"/>
      <c r="N187" s="13"/>
    </row>
    <row r="188" spans="13:14" ht="12.5">
      <c r="M188" s="13"/>
      <c r="N188" s="13"/>
    </row>
    <row r="189" spans="13:14" ht="12.5">
      <c r="M189" s="13"/>
      <c r="N189" s="13"/>
    </row>
    <row r="190" spans="13:14" ht="12.5">
      <c r="M190" s="13"/>
      <c r="N190" s="13"/>
    </row>
    <row r="191" spans="13:14" ht="12.5">
      <c r="M191" s="13"/>
      <c r="N191" s="13"/>
    </row>
    <row r="192" spans="13:14" ht="12.5">
      <c r="M192" s="13"/>
      <c r="N192" s="13"/>
    </row>
    <row r="193" spans="13:14" ht="12.5">
      <c r="M193" s="13"/>
      <c r="N193" s="13"/>
    </row>
    <row r="194" spans="13:14" ht="12.5">
      <c r="M194" s="13"/>
      <c r="N194" s="13"/>
    </row>
    <row r="195" spans="13:14" ht="12.5">
      <c r="M195" s="13"/>
      <c r="N195" s="13"/>
    </row>
    <row r="196" spans="13:14" ht="12.5">
      <c r="M196" s="13"/>
      <c r="N196" s="13"/>
    </row>
    <row r="197" spans="13:14" ht="12.5">
      <c r="M197" s="13"/>
      <c r="N197" s="13"/>
    </row>
    <row r="198" spans="13:14" ht="12.5">
      <c r="M198" s="13"/>
      <c r="N198" s="13"/>
    </row>
    <row r="199" spans="13:14" ht="12.5">
      <c r="M199" s="13"/>
      <c r="N199" s="13"/>
    </row>
    <row r="200" spans="13:14" ht="12.5">
      <c r="M200" s="13"/>
      <c r="N200" s="13"/>
    </row>
    <row r="201" spans="13:14" ht="12.5">
      <c r="M201" s="13"/>
      <c r="N201" s="13"/>
    </row>
    <row r="202" spans="13:14" ht="12.5">
      <c r="M202" s="13"/>
      <c r="N202" s="13"/>
    </row>
    <row r="203" spans="13:14" ht="12.5">
      <c r="M203" s="13"/>
      <c r="N203" s="13"/>
    </row>
    <row r="204" spans="13:14" ht="12.5">
      <c r="M204" s="13"/>
      <c r="N204" s="13"/>
    </row>
    <row r="205" spans="13:14" ht="12.5">
      <c r="M205" s="13"/>
      <c r="N205" s="13"/>
    </row>
    <row r="206" spans="13:14" ht="12.5">
      <c r="M206" s="13"/>
      <c r="N206" s="13"/>
    </row>
    <row r="207" spans="13:14" ht="12.5">
      <c r="M207" s="13"/>
      <c r="N207" s="13"/>
    </row>
    <row r="208" spans="13:14" ht="12.5">
      <c r="M208" s="13"/>
      <c r="N208" s="13"/>
    </row>
    <row r="209" spans="13:14" ht="12.5">
      <c r="M209" s="13"/>
      <c r="N209" s="13"/>
    </row>
    <row r="210" spans="13:14" ht="12.5">
      <c r="M210" s="13"/>
      <c r="N210" s="13"/>
    </row>
    <row r="211" spans="13:14" ht="12.5">
      <c r="M211" s="13"/>
      <c r="N211" s="13"/>
    </row>
    <row r="212" spans="13:14" ht="12.5">
      <c r="M212" s="13"/>
      <c r="N212" s="13"/>
    </row>
    <row r="213" spans="13:14" ht="12.5">
      <c r="M213" s="13"/>
      <c r="N213" s="13"/>
    </row>
    <row r="214" spans="13:14" ht="12.5">
      <c r="M214" s="13"/>
      <c r="N214" s="13"/>
    </row>
    <row r="215" spans="13:14" ht="12.5">
      <c r="M215" s="13"/>
      <c r="N215" s="13"/>
    </row>
    <row r="216" spans="13:14" ht="12.5">
      <c r="M216" s="13"/>
      <c r="N216" s="13"/>
    </row>
    <row r="217" spans="13:14" ht="12.5">
      <c r="M217" s="13"/>
      <c r="N217" s="13"/>
    </row>
    <row r="218" spans="13:14" ht="12.5">
      <c r="M218" s="13"/>
      <c r="N218" s="13"/>
    </row>
    <row r="219" spans="13:14" ht="12.5">
      <c r="M219" s="13"/>
      <c r="N219" s="13"/>
    </row>
    <row r="220" spans="13:14" ht="12.5">
      <c r="M220" s="13"/>
      <c r="N220" s="13"/>
    </row>
    <row r="221" spans="13:14" ht="12.5">
      <c r="M221" s="13"/>
      <c r="N221" s="13"/>
    </row>
    <row r="222" spans="13:14" ht="12.5">
      <c r="M222" s="13"/>
      <c r="N222" s="13"/>
    </row>
    <row r="223" spans="13:14" ht="12.5">
      <c r="M223" s="13"/>
      <c r="N223" s="13"/>
    </row>
    <row r="224" spans="13:14" ht="12.5">
      <c r="M224" s="13"/>
      <c r="N224" s="13"/>
    </row>
    <row r="225" spans="13:14" ht="12.5">
      <c r="M225" s="13"/>
      <c r="N225" s="13"/>
    </row>
    <row r="226" spans="13:14" ht="12.5">
      <c r="M226" s="13"/>
      <c r="N226" s="13"/>
    </row>
    <row r="227" spans="13:14" ht="12.5">
      <c r="M227" s="13"/>
      <c r="N227" s="13"/>
    </row>
    <row r="228" spans="13:14" ht="12.5">
      <c r="M228" s="13"/>
      <c r="N228" s="13"/>
    </row>
    <row r="229" spans="13:14" ht="12.5">
      <c r="M229" s="13"/>
      <c r="N229" s="13"/>
    </row>
    <row r="230" spans="13:14" ht="12.5">
      <c r="M230" s="13"/>
      <c r="N230" s="13"/>
    </row>
    <row r="231" spans="13:14" ht="12.5">
      <c r="M231" s="13"/>
      <c r="N231" s="13"/>
    </row>
    <row r="232" spans="13:14" ht="12.5">
      <c r="M232" s="13"/>
      <c r="N232" s="13"/>
    </row>
    <row r="233" spans="13:14" ht="12.5">
      <c r="M233" s="13"/>
      <c r="N233" s="13"/>
    </row>
    <row r="234" spans="13:14" ht="12.5">
      <c r="M234" s="13"/>
      <c r="N234" s="13"/>
    </row>
    <row r="235" spans="13:14" ht="12.5">
      <c r="M235" s="13"/>
      <c r="N235" s="13"/>
    </row>
    <row r="236" spans="13:14" ht="12.5">
      <c r="M236" s="13"/>
      <c r="N236" s="13"/>
    </row>
    <row r="237" spans="13:14" ht="12.5">
      <c r="M237" s="13"/>
      <c r="N237" s="13"/>
    </row>
    <row r="238" spans="13:14" ht="12.5">
      <c r="M238" s="13"/>
      <c r="N238" s="13"/>
    </row>
    <row r="239" spans="13:14" ht="12.5">
      <c r="M239" s="13"/>
      <c r="N239" s="13"/>
    </row>
    <row r="240" spans="13:14" ht="12.5">
      <c r="M240" s="13"/>
      <c r="N240" s="13"/>
    </row>
    <row r="241" spans="13:14" ht="12.5">
      <c r="M241" s="13"/>
      <c r="N241" s="13"/>
    </row>
    <row r="242" spans="13:14" ht="12.5">
      <c r="M242" s="13"/>
      <c r="N242" s="13"/>
    </row>
    <row r="243" spans="13:14" ht="12.5">
      <c r="M243" s="13"/>
      <c r="N243" s="13"/>
    </row>
    <row r="244" spans="13:14" ht="12.5">
      <c r="M244" s="13"/>
      <c r="N244" s="13"/>
    </row>
    <row r="245" spans="13:14" ht="12.5">
      <c r="M245" s="13"/>
      <c r="N245" s="13"/>
    </row>
    <row r="246" spans="13:14" ht="12.5">
      <c r="M246" s="13"/>
      <c r="N246" s="13"/>
    </row>
    <row r="247" spans="13:14" ht="12.5">
      <c r="M247" s="13"/>
      <c r="N247" s="13"/>
    </row>
    <row r="248" spans="13:14" ht="12.5">
      <c r="M248" s="13"/>
      <c r="N248" s="13"/>
    </row>
    <row r="249" spans="13:14" ht="12.5">
      <c r="M249" s="13"/>
      <c r="N249" s="13"/>
    </row>
    <row r="250" spans="13:14" ht="12.5">
      <c r="M250" s="13"/>
      <c r="N250" s="13"/>
    </row>
    <row r="251" spans="13:14" ht="12.5">
      <c r="M251" s="13"/>
      <c r="N251" s="13"/>
    </row>
    <row r="252" spans="13:14" ht="12.5">
      <c r="M252" s="13"/>
      <c r="N252" s="13"/>
    </row>
    <row r="253" spans="13:14" ht="12.5">
      <c r="M253" s="13"/>
      <c r="N253" s="13"/>
    </row>
    <row r="254" spans="13:14" ht="12.5">
      <c r="M254" s="13"/>
      <c r="N254" s="13"/>
    </row>
    <row r="255" spans="13:14" ht="12.5">
      <c r="M255" s="13"/>
      <c r="N255" s="13"/>
    </row>
    <row r="256" spans="13:14" ht="12.5">
      <c r="M256" s="13"/>
      <c r="N256" s="13"/>
    </row>
    <row r="257" spans="13:14" ht="12.5">
      <c r="M257" s="13"/>
      <c r="N257" s="13"/>
    </row>
    <row r="258" spans="13:14" ht="12.5">
      <c r="M258" s="13"/>
      <c r="N258" s="13"/>
    </row>
    <row r="259" spans="13:14" ht="12.5">
      <c r="M259" s="13"/>
      <c r="N259" s="13"/>
    </row>
    <row r="260" spans="13:14" ht="12.5">
      <c r="M260" s="13"/>
      <c r="N260" s="13"/>
    </row>
    <row r="261" spans="13:14" ht="12.5">
      <c r="M261" s="13"/>
      <c r="N261" s="13"/>
    </row>
    <row r="262" spans="13:14" ht="12.5">
      <c r="M262" s="13"/>
      <c r="N262" s="13"/>
    </row>
    <row r="263" spans="13:14" ht="12.5">
      <c r="M263" s="13"/>
      <c r="N263" s="13"/>
    </row>
    <row r="264" spans="13:14" ht="12.5">
      <c r="M264" s="13"/>
      <c r="N264" s="13"/>
    </row>
    <row r="265" spans="13:14" ht="12.5">
      <c r="M265" s="13"/>
      <c r="N265" s="13"/>
    </row>
    <row r="266" spans="13:14" ht="12.5">
      <c r="M266" s="13"/>
      <c r="N266" s="13"/>
    </row>
    <row r="267" spans="13:14" ht="12.5">
      <c r="M267" s="13"/>
      <c r="N267" s="13"/>
    </row>
    <row r="268" spans="13:14" ht="12.5">
      <c r="M268" s="13"/>
      <c r="N268" s="13"/>
    </row>
    <row r="269" spans="13:14" ht="12.5">
      <c r="M269" s="13"/>
      <c r="N269" s="13"/>
    </row>
    <row r="270" spans="13:14" ht="12.5">
      <c r="M270" s="13"/>
      <c r="N270" s="13"/>
    </row>
    <row r="271" spans="13:14" ht="12.5">
      <c r="M271" s="13"/>
      <c r="N271" s="13"/>
    </row>
    <row r="272" spans="13:14" ht="12.5">
      <c r="M272" s="13"/>
      <c r="N272" s="13"/>
    </row>
    <row r="273" spans="13:14" ht="12.5">
      <c r="M273" s="13"/>
      <c r="N273" s="13"/>
    </row>
    <row r="274" spans="13:14" ht="12.5">
      <c r="M274" s="13"/>
      <c r="N274" s="13"/>
    </row>
    <row r="275" spans="13:14" ht="12.5">
      <c r="M275" s="13"/>
      <c r="N275" s="13"/>
    </row>
    <row r="276" spans="13:14" ht="12.5">
      <c r="M276" s="13"/>
      <c r="N276" s="13"/>
    </row>
    <row r="277" spans="13:14" ht="12.5">
      <c r="M277" s="13"/>
      <c r="N277" s="13"/>
    </row>
    <row r="278" spans="13:14" ht="12.5">
      <c r="M278" s="13"/>
      <c r="N278" s="13"/>
    </row>
    <row r="279" spans="13:14" ht="12.5">
      <c r="M279" s="13"/>
      <c r="N279" s="13"/>
    </row>
    <row r="280" spans="13:14" ht="12.5">
      <c r="M280" s="13"/>
      <c r="N280" s="13"/>
    </row>
    <row r="281" spans="13:14" ht="12.5">
      <c r="M281" s="13"/>
      <c r="N281" s="13"/>
    </row>
    <row r="282" spans="13:14" ht="12.5">
      <c r="M282" s="13"/>
      <c r="N282" s="13"/>
    </row>
    <row r="283" spans="13:14" ht="12.5">
      <c r="M283" s="13"/>
      <c r="N283" s="13"/>
    </row>
    <row r="284" spans="13:14" ht="12.5">
      <c r="M284" s="13"/>
      <c r="N284" s="13"/>
    </row>
    <row r="285" spans="13:14" ht="12.5">
      <c r="M285" s="13"/>
      <c r="N285" s="13"/>
    </row>
    <row r="286" spans="13:14" ht="12.5">
      <c r="M286" s="13"/>
      <c r="N286" s="13"/>
    </row>
    <row r="287" spans="13:14" ht="12.5">
      <c r="M287" s="13"/>
      <c r="N287" s="13"/>
    </row>
    <row r="288" spans="13:14" ht="12.5">
      <c r="M288" s="13"/>
      <c r="N288" s="13"/>
    </row>
    <row r="289" spans="13:14" ht="12.5">
      <c r="M289" s="13"/>
      <c r="N289" s="13"/>
    </row>
    <row r="290" spans="13:14" ht="12.5">
      <c r="M290" s="13"/>
      <c r="N290" s="13"/>
    </row>
    <row r="291" spans="13:14" ht="12.5">
      <c r="M291" s="13"/>
      <c r="N291" s="13"/>
    </row>
    <row r="292" spans="13:14" ht="12.5">
      <c r="M292" s="13"/>
      <c r="N292" s="13"/>
    </row>
    <row r="293" spans="13:14" ht="12.5">
      <c r="M293" s="13"/>
      <c r="N293" s="13"/>
    </row>
    <row r="294" spans="13:14" ht="12.5">
      <c r="M294" s="13"/>
      <c r="N294" s="13"/>
    </row>
    <row r="295" spans="13:14" ht="12.5">
      <c r="M295" s="13"/>
      <c r="N295" s="13"/>
    </row>
    <row r="296" spans="13:14" ht="12.5">
      <c r="M296" s="13"/>
      <c r="N296" s="13"/>
    </row>
    <row r="297" spans="13:14" ht="12.5">
      <c r="M297" s="13"/>
      <c r="N297" s="13"/>
    </row>
    <row r="298" spans="13:14" ht="12.5">
      <c r="M298" s="13"/>
      <c r="N298" s="13"/>
    </row>
    <row r="299" spans="13:14" ht="12.5">
      <c r="M299" s="13"/>
      <c r="N299" s="13"/>
    </row>
    <row r="300" spans="13:14" ht="12.5">
      <c r="M300" s="13"/>
      <c r="N300" s="13"/>
    </row>
    <row r="301" spans="13:14" ht="12.5">
      <c r="M301" s="13"/>
      <c r="N301" s="13"/>
    </row>
    <row r="302" spans="13:14" ht="12.5">
      <c r="M302" s="13"/>
      <c r="N302" s="13"/>
    </row>
    <row r="303" spans="13:14" ht="12.5">
      <c r="M303" s="13"/>
      <c r="N303" s="13"/>
    </row>
    <row r="304" spans="13:14" ht="12.5">
      <c r="M304" s="13"/>
      <c r="N304" s="13"/>
    </row>
    <row r="305" spans="13:14" ht="12.5">
      <c r="M305" s="13"/>
      <c r="N305" s="13"/>
    </row>
    <row r="306" spans="13:14" ht="12.5">
      <c r="M306" s="13"/>
      <c r="N306" s="13"/>
    </row>
    <row r="307" spans="13:14" ht="12.5">
      <c r="M307" s="13"/>
      <c r="N307" s="13"/>
    </row>
    <row r="308" spans="13:14" ht="12.5">
      <c r="M308" s="13"/>
      <c r="N308" s="13"/>
    </row>
    <row r="309" spans="13:14" ht="12.5">
      <c r="M309" s="13"/>
      <c r="N309" s="13"/>
    </row>
    <row r="310" spans="13:14" ht="12.5">
      <c r="M310" s="13"/>
      <c r="N310" s="13"/>
    </row>
    <row r="311" spans="13:14" ht="12.5">
      <c r="M311" s="13"/>
      <c r="N311" s="13"/>
    </row>
    <row r="312" spans="13:14" ht="12.5">
      <c r="M312" s="13"/>
      <c r="N312" s="13"/>
    </row>
    <row r="313" spans="13:14" ht="12.5">
      <c r="M313" s="13"/>
      <c r="N313" s="13"/>
    </row>
    <row r="314" spans="13:14" ht="12.5">
      <c r="M314" s="13"/>
      <c r="N314" s="13"/>
    </row>
    <row r="315" spans="13:14" ht="12.5">
      <c r="M315" s="13"/>
      <c r="N315" s="13"/>
    </row>
    <row r="316" spans="13:14" ht="12.5">
      <c r="M316" s="13"/>
      <c r="N316" s="13"/>
    </row>
    <row r="317" spans="13:14" ht="12.5">
      <c r="M317" s="13"/>
      <c r="N317" s="13"/>
    </row>
    <row r="318" spans="13:14" ht="12.5">
      <c r="M318" s="13"/>
      <c r="N318" s="13"/>
    </row>
    <row r="319" spans="13:14" ht="12.5">
      <c r="M319" s="13"/>
      <c r="N319" s="13"/>
    </row>
    <row r="320" spans="13:14" ht="12.5">
      <c r="M320" s="13"/>
      <c r="N320" s="13"/>
    </row>
    <row r="321" spans="13:14" ht="12.5">
      <c r="M321" s="13"/>
      <c r="N321" s="13"/>
    </row>
    <row r="322" spans="13:14" ht="12.5">
      <c r="M322" s="13"/>
      <c r="N322" s="13"/>
    </row>
    <row r="323" spans="13:14" ht="12.5">
      <c r="M323" s="13"/>
      <c r="N323" s="13"/>
    </row>
    <row r="324" spans="13:14" ht="12.5">
      <c r="M324" s="13"/>
      <c r="N324" s="13"/>
    </row>
    <row r="325" spans="13:14" ht="12.5">
      <c r="M325" s="13"/>
      <c r="N325" s="13"/>
    </row>
    <row r="326" spans="13:14" ht="12.5">
      <c r="M326" s="13"/>
      <c r="N326" s="13"/>
    </row>
    <row r="327" spans="13:14" ht="12.5">
      <c r="M327" s="13"/>
      <c r="N327" s="13"/>
    </row>
    <row r="328" spans="13:14" ht="12.5">
      <c r="M328" s="13"/>
      <c r="N328" s="13"/>
    </row>
    <row r="329" spans="13:14" ht="12.5">
      <c r="M329" s="13"/>
      <c r="N329" s="13"/>
    </row>
    <row r="330" spans="13:14" ht="12.5">
      <c r="M330" s="13"/>
      <c r="N330" s="13"/>
    </row>
    <row r="331" spans="13:14" ht="12.5">
      <c r="M331" s="13"/>
      <c r="N331" s="13"/>
    </row>
    <row r="332" spans="13:14" ht="12.5">
      <c r="M332" s="13"/>
      <c r="N332" s="13"/>
    </row>
    <row r="333" spans="13:14" ht="12.5">
      <c r="M333" s="13"/>
      <c r="N333" s="13"/>
    </row>
    <row r="334" spans="13:14" ht="12.5">
      <c r="M334" s="13"/>
      <c r="N334" s="13"/>
    </row>
    <row r="335" spans="13:14" ht="12.5">
      <c r="M335" s="13"/>
      <c r="N335" s="13"/>
    </row>
    <row r="336" spans="13:14" ht="12.5">
      <c r="M336" s="13"/>
      <c r="N336" s="13"/>
    </row>
    <row r="337" spans="13:14" ht="12.5">
      <c r="M337" s="13"/>
      <c r="N337" s="13"/>
    </row>
    <row r="338" spans="13:14" ht="12.5">
      <c r="M338" s="13"/>
      <c r="N338" s="13"/>
    </row>
    <row r="339" spans="13:14" ht="12.5">
      <c r="M339" s="13"/>
      <c r="N339" s="13"/>
    </row>
    <row r="340" spans="13:14" ht="12.5">
      <c r="M340" s="13"/>
      <c r="N340" s="13"/>
    </row>
    <row r="341" spans="13:14" ht="12.5">
      <c r="M341" s="13"/>
      <c r="N341" s="13"/>
    </row>
    <row r="342" spans="13:14" ht="12.5">
      <c r="M342" s="13"/>
      <c r="N342" s="13"/>
    </row>
    <row r="343" spans="13:14" ht="12.5">
      <c r="M343" s="13"/>
      <c r="N343" s="13"/>
    </row>
    <row r="344" spans="13:14" ht="12.5">
      <c r="M344" s="13"/>
      <c r="N344" s="13"/>
    </row>
    <row r="345" spans="13:14" ht="12.5">
      <c r="M345" s="13"/>
      <c r="N345" s="13"/>
    </row>
    <row r="346" spans="13:14" ht="12.5">
      <c r="M346" s="13"/>
      <c r="N346" s="13"/>
    </row>
    <row r="347" spans="13:14" ht="12.5">
      <c r="M347" s="13"/>
      <c r="N347" s="13"/>
    </row>
    <row r="348" spans="13:14" ht="12.5">
      <c r="M348" s="13"/>
      <c r="N348" s="13"/>
    </row>
    <row r="349" spans="13:14" ht="12.5">
      <c r="M349" s="13"/>
      <c r="N349" s="13"/>
    </row>
    <row r="350" spans="13:14" ht="12.5">
      <c r="M350" s="13"/>
      <c r="N350" s="13"/>
    </row>
    <row r="351" spans="13:14" ht="12.5">
      <c r="M351" s="13"/>
      <c r="N351" s="13"/>
    </row>
    <row r="352" spans="13:14" ht="12.5">
      <c r="M352" s="13"/>
      <c r="N352" s="13"/>
    </row>
    <row r="353" spans="13:14" ht="12.5">
      <c r="M353" s="13"/>
      <c r="N353" s="13"/>
    </row>
    <row r="354" spans="13:14" ht="12.5">
      <c r="M354" s="13"/>
      <c r="N354" s="13"/>
    </row>
    <row r="355" spans="13:14" ht="12.5">
      <c r="M355" s="13"/>
      <c r="N355" s="13"/>
    </row>
    <row r="356" spans="13:14" ht="12.5">
      <c r="M356" s="13"/>
      <c r="N356" s="13"/>
    </row>
    <row r="357" spans="13:14" ht="12.5">
      <c r="M357" s="13"/>
      <c r="N357" s="13"/>
    </row>
    <row r="358" spans="13:14" ht="12.5">
      <c r="M358" s="13"/>
      <c r="N358" s="13"/>
    </row>
    <row r="359" spans="13:14" ht="12.5">
      <c r="M359" s="13"/>
      <c r="N359" s="13"/>
    </row>
    <row r="360" spans="13:14" ht="12.5">
      <c r="M360" s="13"/>
      <c r="N360" s="13"/>
    </row>
    <row r="361" spans="13:14" ht="12.5">
      <c r="M361" s="13"/>
      <c r="N361" s="13"/>
    </row>
    <row r="362" spans="13:14" ht="12.5">
      <c r="M362" s="13"/>
      <c r="N362" s="13"/>
    </row>
    <row r="363" spans="13:14" ht="12.5">
      <c r="M363" s="13"/>
      <c r="N363" s="13"/>
    </row>
    <row r="364" spans="13:14" ht="12.5">
      <c r="M364" s="13"/>
      <c r="N364" s="13"/>
    </row>
    <row r="365" spans="13:14" ht="12.5">
      <c r="M365" s="13"/>
      <c r="N365" s="13"/>
    </row>
    <row r="366" spans="13:14" ht="12.5">
      <c r="M366" s="13"/>
      <c r="N366" s="13"/>
    </row>
    <row r="367" spans="13:14" ht="12.5">
      <c r="M367" s="13"/>
      <c r="N367" s="13"/>
    </row>
    <row r="368" spans="13:14" ht="12.5">
      <c r="M368" s="13"/>
      <c r="N368" s="13"/>
    </row>
    <row r="369" spans="13:14" ht="12.5">
      <c r="M369" s="13"/>
      <c r="N369" s="13"/>
    </row>
    <row r="370" spans="13:14" ht="12.5">
      <c r="M370" s="13"/>
      <c r="N370" s="13"/>
    </row>
    <row r="371" spans="13:14" ht="12.5">
      <c r="M371" s="13"/>
      <c r="N371" s="13"/>
    </row>
    <row r="372" spans="13:14" ht="12.5">
      <c r="M372" s="13"/>
      <c r="N372" s="13"/>
    </row>
    <row r="373" spans="13:14" ht="12.5">
      <c r="M373" s="13"/>
      <c r="N373" s="13"/>
    </row>
    <row r="374" spans="13:14" ht="12.5">
      <c r="M374" s="13"/>
      <c r="N374" s="13"/>
    </row>
    <row r="375" spans="13:14" ht="12.5">
      <c r="M375" s="13"/>
      <c r="N375" s="13"/>
    </row>
    <row r="376" spans="13:14" ht="12.5">
      <c r="M376" s="13"/>
      <c r="N376" s="13"/>
    </row>
    <row r="377" spans="13:14" ht="12.5">
      <c r="M377" s="13"/>
      <c r="N377" s="13"/>
    </row>
    <row r="378" spans="13:14" ht="12.5">
      <c r="M378" s="13"/>
      <c r="N378" s="13"/>
    </row>
    <row r="379" spans="13:14" ht="12.5">
      <c r="M379" s="13"/>
      <c r="N379" s="13"/>
    </row>
    <row r="380" spans="13:14" ht="12.5">
      <c r="M380" s="13"/>
      <c r="N380" s="13"/>
    </row>
    <row r="381" spans="13:14" ht="12.5">
      <c r="M381" s="13"/>
      <c r="N381" s="13"/>
    </row>
    <row r="382" spans="13:14" ht="12.5">
      <c r="M382" s="13"/>
      <c r="N382" s="13"/>
    </row>
    <row r="383" spans="13:14" ht="12.5">
      <c r="M383" s="13"/>
      <c r="N383" s="13"/>
    </row>
    <row r="384" spans="13:14" ht="12.5">
      <c r="M384" s="13"/>
      <c r="N384" s="13"/>
    </row>
    <row r="385" spans="13:14" ht="12.5">
      <c r="M385" s="13"/>
      <c r="N385" s="13"/>
    </row>
    <row r="386" spans="13:14" ht="12.5">
      <c r="M386" s="13"/>
      <c r="N386" s="13"/>
    </row>
    <row r="387" spans="13:14" ht="12.5">
      <c r="M387" s="13"/>
      <c r="N387" s="13"/>
    </row>
    <row r="388" spans="13:14" ht="12.5">
      <c r="M388" s="13"/>
      <c r="N388" s="13"/>
    </row>
    <row r="389" spans="13:14" ht="12.5">
      <c r="M389" s="13"/>
      <c r="N389" s="13"/>
    </row>
    <row r="390" spans="13:14" ht="12.5">
      <c r="M390" s="13"/>
      <c r="N390" s="13"/>
    </row>
    <row r="391" spans="13:14" ht="12.5">
      <c r="M391" s="13"/>
      <c r="N391" s="13"/>
    </row>
    <row r="392" spans="13:14" ht="12.5">
      <c r="M392" s="13"/>
      <c r="N392" s="13"/>
    </row>
    <row r="393" spans="13:14" ht="12.5">
      <c r="M393" s="13"/>
      <c r="N393" s="13"/>
    </row>
    <row r="394" spans="13:14" ht="12.5">
      <c r="M394" s="13"/>
      <c r="N394" s="13"/>
    </row>
    <row r="395" spans="13:14" ht="12.5">
      <c r="M395" s="13"/>
      <c r="N395" s="13"/>
    </row>
    <row r="396" spans="13:14" ht="12.5">
      <c r="M396" s="13"/>
      <c r="N396" s="13"/>
    </row>
    <row r="397" spans="13:14" ht="12.5">
      <c r="M397" s="13"/>
      <c r="N397" s="13"/>
    </row>
    <row r="398" spans="13:14" ht="12.5">
      <c r="M398" s="13"/>
      <c r="N398" s="13"/>
    </row>
    <row r="399" spans="13:14" ht="12.5">
      <c r="M399" s="13"/>
      <c r="N399" s="13"/>
    </row>
    <row r="400" spans="13:14" ht="12.5">
      <c r="M400" s="13"/>
      <c r="N400" s="13"/>
    </row>
    <row r="401" spans="13:14" ht="12.5">
      <c r="M401" s="13"/>
      <c r="N401" s="13"/>
    </row>
    <row r="402" spans="13:14" ht="12.5">
      <c r="M402" s="13"/>
      <c r="N402" s="13"/>
    </row>
    <row r="403" spans="13:14" ht="12.5">
      <c r="M403" s="13"/>
      <c r="N403" s="13"/>
    </row>
    <row r="404" spans="13:14" ht="12.5">
      <c r="M404" s="13"/>
      <c r="N404" s="13"/>
    </row>
    <row r="405" spans="13:14" ht="12.5">
      <c r="M405" s="13"/>
      <c r="N405" s="13"/>
    </row>
    <row r="406" spans="13:14" ht="12.5">
      <c r="M406" s="13"/>
      <c r="N406" s="13"/>
    </row>
    <row r="407" spans="13:14" ht="12.5">
      <c r="M407" s="13"/>
      <c r="N407" s="13"/>
    </row>
    <row r="408" spans="13:14" ht="12.5">
      <c r="M408" s="13"/>
      <c r="N408" s="13"/>
    </row>
    <row r="409" spans="13:14" ht="12.5">
      <c r="M409" s="13"/>
      <c r="N409" s="13"/>
    </row>
    <row r="410" spans="13:14" ht="12.5">
      <c r="M410" s="13"/>
      <c r="N410" s="13"/>
    </row>
    <row r="411" spans="13:14" ht="12.5">
      <c r="M411" s="13"/>
      <c r="N411" s="13"/>
    </row>
    <row r="412" spans="13:14" ht="12.5">
      <c r="M412" s="13"/>
      <c r="N412" s="13"/>
    </row>
    <row r="413" spans="13:14" ht="12.5">
      <c r="M413" s="13"/>
      <c r="N413" s="13"/>
    </row>
    <row r="414" spans="13:14" ht="12.5">
      <c r="M414" s="13"/>
      <c r="N414" s="13"/>
    </row>
    <row r="415" spans="13:14" ht="12.5">
      <c r="M415" s="13"/>
      <c r="N415" s="13"/>
    </row>
    <row r="416" spans="13:14" ht="12.5">
      <c r="M416" s="13"/>
      <c r="N416" s="13"/>
    </row>
    <row r="417" spans="13:14" ht="12.5">
      <c r="M417" s="13"/>
      <c r="N417" s="13"/>
    </row>
    <row r="418" spans="13:14" ht="12.5">
      <c r="M418" s="13"/>
      <c r="N418" s="13"/>
    </row>
    <row r="419" spans="13:14" ht="12.5">
      <c r="M419" s="13"/>
      <c r="N419" s="13"/>
    </row>
    <row r="420" spans="13:14" ht="12.5">
      <c r="M420" s="13"/>
      <c r="N420" s="13"/>
    </row>
    <row r="421" spans="13:14" ht="12.5">
      <c r="M421" s="13"/>
      <c r="N421" s="13"/>
    </row>
    <row r="422" spans="13:14" ht="12.5">
      <c r="M422" s="13"/>
      <c r="N422" s="13"/>
    </row>
    <row r="423" spans="13:14" ht="12.5">
      <c r="M423" s="13"/>
      <c r="N423" s="13"/>
    </row>
    <row r="424" spans="13:14" ht="12.5">
      <c r="M424" s="13"/>
      <c r="N424" s="13"/>
    </row>
    <row r="425" spans="13:14" ht="12.5">
      <c r="M425" s="13"/>
      <c r="N425" s="13"/>
    </row>
    <row r="426" spans="13:14" ht="12.5">
      <c r="M426" s="13"/>
      <c r="N426" s="13"/>
    </row>
    <row r="427" spans="13:14" ht="12.5">
      <c r="M427" s="13"/>
      <c r="N427" s="13"/>
    </row>
    <row r="428" spans="13:14" ht="12.5">
      <c r="M428" s="13"/>
      <c r="N428" s="13"/>
    </row>
    <row r="429" spans="13:14" ht="12.5">
      <c r="M429" s="13"/>
      <c r="N429" s="13"/>
    </row>
    <row r="430" spans="13:14" ht="12.5">
      <c r="M430" s="13"/>
      <c r="N430" s="13"/>
    </row>
    <row r="431" spans="13:14" ht="12.5">
      <c r="M431" s="13"/>
      <c r="N431" s="13"/>
    </row>
    <row r="432" spans="13:14" ht="12.5">
      <c r="M432" s="13"/>
      <c r="N432" s="13"/>
    </row>
    <row r="433" spans="13:14" ht="12.5">
      <c r="M433" s="13"/>
      <c r="N433" s="13"/>
    </row>
    <row r="434" spans="13:14" ht="12.5">
      <c r="M434" s="13"/>
      <c r="N434" s="13"/>
    </row>
    <row r="435" spans="13:14" ht="12.5">
      <c r="M435" s="13"/>
      <c r="N435" s="13"/>
    </row>
    <row r="436" spans="13:14" ht="12.5">
      <c r="M436" s="13"/>
      <c r="N436" s="13"/>
    </row>
    <row r="437" spans="13:14" ht="12.5">
      <c r="M437" s="13"/>
      <c r="N437" s="13"/>
    </row>
    <row r="438" spans="13:14" ht="12.5">
      <c r="M438" s="13"/>
      <c r="N438" s="13"/>
    </row>
    <row r="439" spans="13:14" ht="12.5">
      <c r="M439" s="13"/>
      <c r="N439" s="13"/>
    </row>
    <row r="440" spans="13:14" ht="12.5">
      <c r="M440" s="13"/>
      <c r="N440" s="13"/>
    </row>
    <row r="441" spans="13:14" ht="12.5">
      <c r="M441" s="13"/>
      <c r="N441" s="13"/>
    </row>
    <row r="442" spans="13:14" ht="12.5">
      <c r="M442" s="13"/>
      <c r="N442" s="13"/>
    </row>
    <row r="443" spans="13:14" ht="12.5">
      <c r="M443" s="13"/>
      <c r="N443" s="13"/>
    </row>
    <row r="444" spans="13:14" ht="12.5">
      <c r="M444" s="13"/>
      <c r="N444" s="13"/>
    </row>
    <row r="445" spans="13:14" ht="12.5">
      <c r="M445" s="13"/>
      <c r="N445" s="13"/>
    </row>
    <row r="446" spans="13:14" ht="12.5">
      <c r="M446" s="13"/>
      <c r="N446" s="13"/>
    </row>
    <row r="447" spans="13:14" ht="12.5">
      <c r="M447" s="13"/>
      <c r="N447" s="13"/>
    </row>
    <row r="448" spans="13:14" ht="12.5">
      <c r="M448" s="13"/>
      <c r="N448" s="13"/>
    </row>
    <row r="449" spans="13:14" ht="12.5">
      <c r="M449" s="13"/>
      <c r="N449" s="13"/>
    </row>
    <row r="450" spans="13:14" ht="12.5">
      <c r="M450" s="13"/>
      <c r="N450" s="13"/>
    </row>
    <row r="451" spans="13:14" ht="12.5">
      <c r="M451" s="13"/>
      <c r="N451" s="13"/>
    </row>
    <row r="452" spans="13:14" ht="12.5">
      <c r="M452" s="13"/>
      <c r="N452" s="13"/>
    </row>
    <row r="453" spans="13:14" ht="12.5">
      <c r="M453" s="13"/>
      <c r="N453" s="13"/>
    </row>
    <row r="454" spans="13:14" ht="12.5">
      <c r="M454" s="13"/>
      <c r="N454" s="13"/>
    </row>
    <row r="455" spans="13:14" ht="12.5">
      <c r="M455" s="13"/>
      <c r="N455" s="13"/>
    </row>
    <row r="456" spans="13:14" ht="12.5">
      <c r="M456" s="13"/>
      <c r="N456" s="13"/>
    </row>
    <row r="457" spans="13:14" ht="12.5">
      <c r="M457" s="13"/>
      <c r="N457" s="13"/>
    </row>
    <row r="458" spans="13:14" ht="12.5">
      <c r="M458" s="13"/>
      <c r="N458" s="13"/>
    </row>
    <row r="459" spans="13:14" ht="12.5">
      <c r="M459" s="13"/>
      <c r="N459" s="13"/>
    </row>
    <row r="460" spans="13:14" ht="12.5">
      <c r="M460" s="13"/>
      <c r="N460" s="13"/>
    </row>
    <row r="461" spans="13:14" ht="12.5">
      <c r="M461" s="13"/>
      <c r="N461" s="13"/>
    </row>
    <row r="462" spans="13:14" ht="12.5">
      <c r="M462" s="13"/>
      <c r="N462" s="13"/>
    </row>
    <row r="463" spans="13:14" ht="12.5">
      <c r="M463" s="13"/>
      <c r="N463" s="13"/>
    </row>
    <row r="464" spans="13:14" ht="12.5">
      <c r="M464" s="13"/>
      <c r="N464" s="13"/>
    </row>
    <row r="465" spans="13:14" ht="12.5">
      <c r="M465" s="13"/>
      <c r="N465" s="13"/>
    </row>
    <row r="466" spans="13:14" ht="12.5">
      <c r="M466" s="13"/>
      <c r="N466" s="13"/>
    </row>
    <row r="467" spans="13:14" ht="12.5">
      <c r="M467" s="13"/>
      <c r="N467" s="13"/>
    </row>
    <row r="468" spans="13:14" ht="12.5">
      <c r="M468" s="13"/>
      <c r="N468" s="13"/>
    </row>
    <row r="469" spans="13:14" ht="12.5">
      <c r="M469" s="13"/>
      <c r="N469" s="13"/>
    </row>
    <row r="470" spans="13:14" ht="12.5">
      <c r="M470" s="13"/>
      <c r="N470" s="13"/>
    </row>
    <row r="471" spans="13:14" ht="12.5">
      <c r="M471" s="13"/>
      <c r="N471" s="13"/>
    </row>
    <row r="472" spans="13:14" ht="12.5">
      <c r="M472" s="13"/>
      <c r="N472" s="13"/>
    </row>
    <row r="473" spans="13:14" ht="12.5">
      <c r="M473" s="13"/>
      <c r="N473" s="13"/>
    </row>
    <row r="474" spans="13:14" ht="12.5">
      <c r="M474" s="13"/>
      <c r="N474" s="13"/>
    </row>
    <row r="475" spans="13:14" ht="12.5">
      <c r="M475" s="13"/>
      <c r="N475" s="13"/>
    </row>
    <row r="476" spans="13:14" ht="12.5">
      <c r="M476" s="13"/>
      <c r="N476" s="13"/>
    </row>
    <row r="477" spans="13:14" ht="12.5">
      <c r="M477" s="13"/>
      <c r="N477" s="13"/>
    </row>
    <row r="478" spans="13:14" ht="12.5">
      <c r="M478" s="13"/>
      <c r="N478" s="13"/>
    </row>
    <row r="479" spans="13:14" ht="12.5">
      <c r="M479" s="13"/>
      <c r="N479" s="13"/>
    </row>
    <row r="480" spans="13:14" ht="12.5">
      <c r="M480" s="13"/>
      <c r="N480" s="13"/>
    </row>
    <row r="481" spans="13:14" ht="12.5">
      <c r="M481" s="13"/>
      <c r="N481" s="13"/>
    </row>
    <row r="482" spans="13:14" ht="12.5">
      <c r="M482" s="13"/>
      <c r="N482" s="13"/>
    </row>
    <row r="483" spans="13:14" ht="12.5">
      <c r="M483" s="13"/>
      <c r="N483" s="13"/>
    </row>
    <row r="484" spans="13:14" ht="12.5">
      <c r="M484" s="13"/>
      <c r="N484" s="13"/>
    </row>
    <row r="485" spans="13:14" ht="12.5">
      <c r="M485" s="13"/>
      <c r="N485" s="13"/>
    </row>
    <row r="486" spans="13:14" ht="12.5">
      <c r="M486" s="13"/>
      <c r="N486" s="13"/>
    </row>
    <row r="487" spans="13:14" ht="12.5">
      <c r="M487" s="13"/>
      <c r="N487" s="13"/>
    </row>
    <row r="488" spans="13:14" ht="12.5">
      <c r="M488" s="13"/>
      <c r="N488" s="13"/>
    </row>
    <row r="489" spans="13:14" ht="12.5">
      <c r="M489" s="13"/>
      <c r="N489" s="13"/>
    </row>
    <row r="490" spans="13:14" ht="12.5">
      <c r="M490" s="13"/>
      <c r="N490" s="13"/>
    </row>
    <row r="491" spans="13:14" ht="12.5">
      <c r="M491" s="13"/>
      <c r="N491" s="13"/>
    </row>
    <row r="492" spans="13:14" ht="12.5">
      <c r="M492" s="13"/>
      <c r="N492" s="13"/>
    </row>
    <row r="493" spans="13:14" ht="12.5">
      <c r="M493" s="13"/>
      <c r="N493" s="13"/>
    </row>
    <row r="494" spans="13:14" ht="12.5">
      <c r="M494" s="13"/>
      <c r="N494" s="13"/>
    </row>
    <row r="495" spans="13:14" ht="12.5">
      <c r="M495" s="13"/>
      <c r="N495" s="13"/>
    </row>
    <row r="496" spans="13:14" ht="12.5">
      <c r="M496" s="13"/>
      <c r="N496" s="13"/>
    </row>
    <row r="497" spans="13:14" ht="12.5">
      <c r="M497" s="13"/>
      <c r="N497" s="13"/>
    </row>
    <row r="498" spans="13:14" ht="12.5">
      <c r="M498" s="13"/>
      <c r="N498" s="13"/>
    </row>
    <row r="499" spans="13:14" ht="12.5">
      <c r="M499" s="13"/>
      <c r="N499" s="13"/>
    </row>
    <row r="500" spans="13:14" ht="12.5">
      <c r="M500" s="13"/>
      <c r="N500" s="13"/>
    </row>
    <row r="501" spans="13:14" ht="12.5">
      <c r="M501" s="13"/>
      <c r="N501" s="13"/>
    </row>
    <row r="502" spans="13:14" ht="12.5">
      <c r="M502" s="13"/>
      <c r="N502" s="13"/>
    </row>
    <row r="503" spans="13:14" ht="12.5">
      <c r="M503" s="13"/>
      <c r="N503" s="13"/>
    </row>
    <row r="504" spans="13:14" ht="12.5">
      <c r="M504" s="13"/>
      <c r="N504" s="13"/>
    </row>
    <row r="505" spans="13:14" ht="12.5">
      <c r="M505" s="13"/>
      <c r="N505" s="13"/>
    </row>
    <row r="506" spans="13:14" ht="12.5">
      <c r="M506" s="13"/>
      <c r="N506" s="13"/>
    </row>
    <row r="507" spans="13:14" ht="12.5">
      <c r="M507" s="13"/>
      <c r="N507" s="13"/>
    </row>
    <row r="508" spans="13:14" ht="12.5">
      <c r="M508" s="13"/>
      <c r="N508" s="13"/>
    </row>
    <row r="509" spans="13:14" ht="12.5">
      <c r="M509" s="13"/>
      <c r="N509" s="13"/>
    </row>
    <row r="510" spans="13:14" ht="12.5">
      <c r="M510" s="13"/>
      <c r="N510" s="13"/>
    </row>
    <row r="511" spans="13:14" ht="12.5">
      <c r="M511" s="13"/>
      <c r="N511" s="13"/>
    </row>
    <row r="512" spans="13:14" ht="12.5">
      <c r="M512" s="13"/>
      <c r="N512" s="13"/>
    </row>
    <row r="513" spans="13:14" ht="12.5">
      <c r="M513" s="13"/>
      <c r="N513" s="13"/>
    </row>
    <row r="514" spans="13:14" ht="12.5">
      <c r="M514" s="13"/>
      <c r="N514" s="13"/>
    </row>
    <row r="515" spans="13:14" ht="12.5">
      <c r="M515" s="13"/>
      <c r="N515" s="13"/>
    </row>
    <row r="516" spans="13:14" ht="12.5">
      <c r="M516" s="13"/>
      <c r="N516" s="13"/>
    </row>
    <row r="517" spans="13:14" ht="12.5">
      <c r="M517" s="13"/>
      <c r="N517" s="13"/>
    </row>
    <row r="518" spans="13:14" ht="12.5">
      <c r="M518" s="13"/>
      <c r="N518" s="13"/>
    </row>
    <row r="519" spans="13:14" ht="12.5">
      <c r="M519" s="13"/>
      <c r="N519" s="13"/>
    </row>
    <row r="520" spans="13:14" ht="12.5">
      <c r="M520" s="13"/>
      <c r="N520" s="13"/>
    </row>
    <row r="521" spans="13:14" ht="12.5">
      <c r="M521" s="13"/>
      <c r="N521" s="13"/>
    </row>
    <row r="522" spans="13:14" ht="12.5">
      <c r="M522" s="13"/>
      <c r="N522" s="13"/>
    </row>
    <row r="523" spans="13:14" ht="12.5">
      <c r="M523" s="13"/>
      <c r="N523" s="13"/>
    </row>
    <row r="524" spans="13:14" ht="12.5">
      <c r="M524" s="13"/>
      <c r="N524" s="13"/>
    </row>
    <row r="525" spans="13:14" ht="12.5">
      <c r="M525" s="13"/>
      <c r="N525" s="13"/>
    </row>
    <row r="526" spans="13:14" ht="12.5">
      <c r="M526" s="13"/>
      <c r="N526" s="13"/>
    </row>
    <row r="527" spans="13:14" ht="12.5">
      <c r="M527" s="13"/>
      <c r="N527" s="13"/>
    </row>
    <row r="528" spans="13:14" ht="12.5">
      <c r="M528" s="13"/>
      <c r="N528" s="13"/>
    </row>
    <row r="529" spans="13:14" ht="12.5">
      <c r="M529" s="13"/>
      <c r="N529" s="13"/>
    </row>
    <row r="530" spans="13:14" ht="12.5">
      <c r="M530" s="13"/>
      <c r="N530" s="13"/>
    </row>
    <row r="531" spans="13:14" ht="12.5">
      <c r="M531" s="13"/>
      <c r="N531" s="13"/>
    </row>
    <row r="532" spans="13:14" ht="12.5">
      <c r="M532" s="13"/>
      <c r="N532" s="13"/>
    </row>
    <row r="533" spans="13:14" ht="12.5">
      <c r="M533" s="13"/>
      <c r="N533" s="13"/>
    </row>
    <row r="534" spans="13:14" ht="12.5">
      <c r="M534" s="13"/>
      <c r="N534" s="13"/>
    </row>
    <row r="535" spans="13:14" ht="12.5">
      <c r="M535" s="13"/>
      <c r="N535" s="13"/>
    </row>
    <row r="536" spans="13:14" ht="12.5">
      <c r="M536" s="13"/>
      <c r="N536" s="13"/>
    </row>
    <row r="537" spans="13:14" ht="12.5">
      <c r="M537" s="13"/>
      <c r="N537" s="13"/>
    </row>
    <row r="538" spans="13:14" ht="12.5">
      <c r="M538" s="13"/>
      <c r="N538" s="13"/>
    </row>
    <row r="539" spans="13:14" ht="12.5">
      <c r="M539" s="13"/>
      <c r="N539" s="13"/>
    </row>
    <row r="540" spans="13:14" ht="12.5">
      <c r="M540" s="13"/>
      <c r="N540" s="13"/>
    </row>
    <row r="541" spans="13:14" ht="12.5">
      <c r="M541" s="13"/>
      <c r="N541" s="13"/>
    </row>
    <row r="542" spans="13:14" ht="12.5">
      <c r="M542" s="13"/>
      <c r="N542" s="13"/>
    </row>
    <row r="543" spans="13:14" ht="12.5">
      <c r="M543" s="13"/>
      <c r="N543" s="13"/>
    </row>
    <row r="544" spans="13:14" ht="12.5">
      <c r="M544" s="13"/>
      <c r="N544" s="13"/>
    </row>
    <row r="545" spans="13:14" ht="12.5">
      <c r="M545" s="13"/>
      <c r="N545" s="13"/>
    </row>
    <row r="546" spans="13:14" ht="12.5">
      <c r="M546" s="13"/>
      <c r="N546" s="13"/>
    </row>
    <row r="547" spans="13:14" ht="12.5">
      <c r="M547" s="13"/>
      <c r="N547" s="13"/>
    </row>
    <row r="548" spans="13:14" ht="12.5">
      <c r="M548" s="13"/>
      <c r="N548" s="13"/>
    </row>
    <row r="549" spans="13:14" ht="12.5">
      <c r="M549" s="13"/>
      <c r="N549" s="13"/>
    </row>
    <row r="550" spans="13:14" ht="12.5">
      <c r="M550" s="13"/>
      <c r="N550" s="13"/>
    </row>
    <row r="551" spans="13:14" ht="12.5">
      <c r="M551" s="13"/>
      <c r="N551" s="13"/>
    </row>
    <row r="552" spans="13:14" ht="12.5">
      <c r="M552" s="13"/>
      <c r="N552" s="13"/>
    </row>
    <row r="553" spans="13:14" ht="12.5">
      <c r="M553" s="13"/>
      <c r="N553" s="13"/>
    </row>
    <row r="554" spans="13:14" ht="12.5">
      <c r="M554" s="13"/>
      <c r="N554" s="13"/>
    </row>
    <row r="555" spans="13:14" ht="12.5">
      <c r="M555" s="13"/>
      <c r="N555" s="13"/>
    </row>
    <row r="556" spans="13:14" ht="12.5">
      <c r="M556" s="13"/>
      <c r="N556" s="13"/>
    </row>
    <row r="557" spans="13:14" ht="12.5">
      <c r="M557" s="13"/>
      <c r="N557" s="13"/>
    </row>
    <row r="558" spans="13:14" ht="12.5">
      <c r="M558" s="13"/>
      <c r="N558" s="13"/>
    </row>
    <row r="559" spans="13:14" ht="12.5">
      <c r="M559" s="13"/>
      <c r="N559" s="13"/>
    </row>
    <row r="560" spans="13:14" ht="12.5">
      <c r="M560" s="13"/>
      <c r="N560" s="13"/>
    </row>
    <row r="561" spans="13:14" ht="12.5">
      <c r="M561" s="13"/>
      <c r="N561" s="13"/>
    </row>
    <row r="562" spans="13:14" ht="12.5">
      <c r="M562" s="13"/>
      <c r="N562" s="13"/>
    </row>
    <row r="563" spans="13:14" ht="12.5">
      <c r="M563" s="13"/>
      <c r="N563" s="13"/>
    </row>
    <row r="564" spans="13:14" ht="12.5">
      <c r="M564" s="13"/>
      <c r="N564" s="13"/>
    </row>
    <row r="565" spans="13:14" ht="12.5">
      <c r="M565" s="13"/>
      <c r="N565" s="13"/>
    </row>
    <row r="566" spans="13:14" ht="12.5">
      <c r="M566" s="13"/>
      <c r="N566" s="13"/>
    </row>
    <row r="567" spans="13:14" ht="12.5">
      <c r="M567" s="13"/>
      <c r="N567" s="13"/>
    </row>
    <row r="568" spans="13:14" ht="12.5">
      <c r="M568" s="13"/>
      <c r="N568" s="13"/>
    </row>
    <row r="569" spans="13:14" ht="12.5">
      <c r="M569" s="13"/>
      <c r="N569" s="13"/>
    </row>
    <row r="570" spans="13:14" ht="12.5">
      <c r="M570" s="13"/>
      <c r="N570" s="13"/>
    </row>
    <row r="571" spans="13:14" ht="12.5">
      <c r="M571" s="13"/>
      <c r="N571" s="13"/>
    </row>
    <row r="572" spans="13:14" ht="12.5">
      <c r="M572" s="13"/>
      <c r="N572" s="13"/>
    </row>
    <row r="573" spans="13:14" ht="12.5">
      <c r="M573" s="13"/>
      <c r="N573" s="13"/>
    </row>
    <row r="574" spans="13:14" ht="12.5">
      <c r="M574" s="13"/>
      <c r="N574" s="13"/>
    </row>
    <row r="575" spans="13:14" ht="12.5">
      <c r="M575" s="13"/>
      <c r="N575" s="13"/>
    </row>
    <row r="576" spans="13:14" ht="12.5">
      <c r="M576" s="13"/>
      <c r="N576" s="13"/>
    </row>
    <row r="577" spans="13:14" ht="12.5">
      <c r="M577" s="13"/>
      <c r="N577" s="13"/>
    </row>
    <row r="578" spans="13:14" ht="12.5">
      <c r="M578" s="13"/>
      <c r="N578" s="13"/>
    </row>
    <row r="579" spans="13:14" ht="12.5">
      <c r="M579" s="13"/>
      <c r="N579" s="13"/>
    </row>
    <row r="580" spans="13:14" ht="12.5">
      <c r="M580" s="13"/>
      <c r="N580" s="13"/>
    </row>
    <row r="581" spans="13:14" ht="12.5">
      <c r="M581" s="13"/>
      <c r="N581" s="13"/>
    </row>
    <row r="582" spans="13:14" ht="12.5">
      <c r="M582" s="13"/>
      <c r="N582" s="13"/>
    </row>
    <row r="583" spans="13:14" ht="12.5">
      <c r="M583" s="13"/>
      <c r="N583" s="13"/>
    </row>
    <row r="584" spans="13:14" ht="12.5">
      <c r="M584" s="13"/>
      <c r="N584" s="13"/>
    </row>
    <row r="585" spans="13:14" ht="12.5">
      <c r="M585" s="13"/>
      <c r="N585" s="13"/>
    </row>
    <row r="586" spans="13:14" ht="12.5">
      <c r="M586" s="13"/>
      <c r="N586" s="13"/>
    </row>
    <row r="587" spans="13:14" ht="12.5">
      <c r="M587" s="13"/>
      <c r="N587" s="13"/>
    </row>
    <row r="588" spans="13:14" ht="12.5">
      <c r="M588" s="13"/>
      <c r="N588" s="13"/>
    </row>
    <row r="589" spans="13:14" ht="12.5">
      <c r="M589" s="13"/>
      <c r="N589" s="13"/>
    </row>
    <row r="590" spans="13:14" ht="12.5">
      <c r="M590" s="13"/>
      <c r="N590" s="13"/>
    </row>
    <row r="591" spans="13:14" ht="12.5">
      <c r="M591" s="13"/>
      <c r="N591" s="13"/>
    </row>
    <row r="592" spans="13:14" ht="12.5">
      <c r="M592" s="13"/>
      <c r="N592" s="13"/>
    </row>
    <row r="593" spans="13:14" ht="12.5">
      <c r="M593" s="13"/>
      <c r="N593" s="13"/>
    </row>
    <row r="594" spans="13:14" ht="12.5">
      <c r="M594" s="13"/>
      <c r="N594" s="13"/>
    </row>
    <row r="595" spans="13:14" ht="12.5">
      <c r="M595" s="13"/>
      <c r="N595" s="13"/>
    </row>
    <row r="596" spans="13:14" ht="12.5">
      <c r="M596" s="13"/>
      <c r="N596" s="13"/>
    </row>
    <row r="597" spans="13:14" ht="12.5">
      <c r="M597" s="13"/>
      <c r="N597" s="13"/>
    </row>
    <row r="598" spans="13:14" ht="12.5">
      <c r="M598" s="13"/>
      <c r="N598" s="13"/>
    </row>
    <row r="599" spans="13:14" ht="12.5">
      <c r="M599" s="13"/>
      <c r="N599" s="13"/>
    </row>
    <row r="600" spans="13:14" ht="12.5">
      <c r="M600" s="13"/>
      <c r="N600" s="13"/>
    </row>
    <row r="601" spans="13:14" ht="12.5">
      <c r="M601" s="13"/>
      <c r="N601" s="13"/>
    </row>
    <row r="602" spans="13:14" ht="12.5">
      <c r="M602" s="13"/>
      <c r="N602" s="13"/>
    </row>
    <row r="603" spans="13:14" ht="12.5">
      <c r="M603" s="13"/>
      <c r="N603" s="13"/>
    </row>
    <row r="604" spans="13:14" ht="12.5">
      <c r="M604" s="13"/>
      <c r="N604" s="13"/>
    </row>
    <row r="605" spans="13:14" ht="12.5">
      <c r="M605" s="13"/>
      <c r="N605" s="13"/>
    </row>
    <row r="606" spans="13:14" ht="12.5">
      <c r="M606" s="13"/>
      <c r="N606" s="13"/>
    </row>
    <row r="607" spans="13:14" ht="12.5">
      <c r="M607" s="13"/>
      <c r="N607" s="13"/>
    </row>
    <row r="608" spans="13:14" ht="12.5">
      <c r="M608" s="13"/>
      <c r="N608" s="13"/>
    </row>
    <row r="609" spans="13:14" ht="12.5">
      <c r="M609" s="13"/>
      <c r="N609" s="13"/>
    </row>
    <row r="610" spans="13:14" ht="12.5">
      <c r="M610" s="13"/>
      <c r="N610" s="13"/>
    </row>
    <row r="611" spans="13:14" ht="12.5">
      <c r="M611" s="13"/>
      <c r="N611" s="13"/>
    </row>
    <row r="612" spans="13:14" ht="12.5">
      <c r="M612" s="13"/>
      <c r="N612" s="13"/>
    </row>
    <row r="613" spans="13:14" ht="12.5">
      <c r="M613" s="13"/>
      <c r="N613" s="13"/>
    </row>
    <row r="614" spans="13:14" ht="12.5">
      <c r="M614" s="13"/>
      <c r="N614" s="13"/>
    </row>
    <row r="615" spans="13:14" ht="12.5">
      <c r="M615" s="13"/>
      <c r="N615" s="13"/>
    </row>
    <row r="616" spans="13:14" ht="12.5">
      <c r="M616" s="13"/>
      <c r="N616" s="13"/>
    </row>
    <row r="617" spans="13:14" ht="12.5">
      <c r="M617" s="13"/>
      <c r="N617" s="13"/>
    </row>
    <row r="618" spans="13:14" ht="12.5">
      <c r="M618" s="13"/>
      <c r="N618" s="13"/>
    </row>
    <row r="619" spans="13:14" ht="12.5">
      <c r="M619" s="13"/>
      <c r="N619" s="13"/>
    </row>
    <row r="620" spans="13:14" ht="12.5">
      <c r="M620" s="13"/>
      <c r="N620" s="13"/>
    </row>
    <row r="621" spans="13:14" ht="12.5">
      <c r="M621" s="13"/>
      <c r="N621" s="13"/>
    </row>
    <row r="622" spans="13:14" ht="12.5">
      <c r="M622" s="13"/>
      <c r="N622" s="13"/>
    </row>
    <row r="623" spans="13:14" ht="12.5">
      <c r="M623" s="13"/>
      <c r="N623" s="13"/>
    </row>
    <row r="624" spans="13:14" ht="12.5">
      <c r="M624" s="13"/>
      <c r="N624" s="13"/>
    </row>
    <row r="625" spans="13:14" ht="12.5">
      <c r="M625" s="13"/>
      <c r="N625" s="13"/>
    </row>
    <row r="626" spans="13:14" ht="12.5">
      <c r="M626" s="13"/>
      <c r="N626" s="13"/>
    </row>
    <row r="627" spans="13:14" ht="12.5">
      <c r="M627" s="13"/>
      <c r="N627" s="13"/>
    </row>
    <row r="628" spans="13:14" ht="12.5">
      <c r="M628" s="13"/>
      <c r="N628" s="13"/>
    </row>
    <row r="629" spans="13:14" ht="12.5">
      <c r="M629" s="13"/>
      <c r="N629" s="13"/>
    </row>
    <row r="630" spans="13:14" ht="12.5">
      <c r="M630" s="13"/>
      <c r="N630" s="13"/>
    </row>
    <row r="631" spans="13:14" ht="12.5">
      <c r="M631" s="13"/>
      <c r="N631" s="13"/>
    </row>
    <row r="632" spans="13:14" ht="12.5">
      <c r="M632" s="13"/>
      <c r="N632" s="13"/>
    </row>
    <row r="633" spans="13:14" ht="12.5">
      <c r="M633" s="13"/>
      <c r="N633" s="13"/>
    </row>
    <row r="634" spans="13:14" ht="12.5">
      <c r="M634" s="13"/>
      <c r="N634" s="13"/>
    </row>
    <row r="635" spans="13:14" ht="12.5">
      <c r="M635" s="13"/>
      <c r="N635" s="13"/>
    </row>
    <row r="636" spans="13:14" ht="12.5">
      <c r="M636" s="13"/>
      <c r="N636" s="13"/>
    </row>
    <row r="637" spans="13:14" ht="12.5">
      <c r="M637" s="13"/>
      <c r="N637" s="13"/>
    </row>
    <row r="638" spans="13:14" ht="12.5">
      <c r="M638" s="13"/>
      <c r="N638" s="13"/>
    </row>
    <row r="639" spans="13:14" ht="12.5">
      <c r="M639" s="13"/>
      <c r="N639" s="13"/>
    </row>
    <row r="640" spans="13:14" ht="12.5">
      <c r="M640" s="13"/>
      <c r="N640" s="13"/>
    </row>
    <row r="641" spans="13:14" ht="12.5">
      <c r="M641" s="13"/>
      <c r="N641" s="13"/>
    </row>
    <row r="642" spans="13:14" ht="12.5">
      <c r="M642" s="13"/>
      <c r="N642" s="13"/>
    </row>
    <row r="643" spans="13:14" ht="12.5">
      <c r="M643" s="13"/>
      <c r="N643" s="13"/>
    </row>
    <row r="644" spans="13:14" ht="12.5">
      <c r="M644" s="13"/>
      <c r="N644" s="13"/>
    </row>
    <row r="645" spans="13:14" ht="12.5">
      <c r="M645" s="13"/>
      <c r="N645" s="13"/>
    </row>
    <row r="646" spans="13:14" ht="12.5">
      <c r="M646" s="13"/>
      <c r="N646" s="13"/>
    </row>
    <row r="647" spans="13:14" ht="12.5">
      <c r="M647" s="13"/>
      <c r="N647" s="13"/>
    </row>
    <row r="648" spans="13:14" ht="12.5">
      <c r="M648" s="13"/>
      <c r="N648" s="13"/>
    </row>
    <row r="649" spans="13:14" ht="12.5">
      <c r="M649" s="13"/>
      <c r="N649" s="13"/>
    </row>
    <row r="650" spans="13:14" ht="12.5">
      <c r="M650" s="13"/>
      <c r="N650" s="13"/>
    </row>
    <row r="651" spans="13:14" ht="12.5">
      <c r="M651" s="13"/>
      <c r="N651" s="13"/>
    </row>
    <row r="652" spans="13:14" ht="12.5">
      <c r="M652" s="13"/>
      <c r="N652" s="13"/>
    </row>
    <row r="653" spans="13:14" ht="12.5">
      <c r="M653" s="13"/>
      <c r="N653" s="13"/>
    </row>
    <row r="654" spans="13:14" ht="12.5">
      <c r="M654" s="13"/>
      <c r="N654" s="13"/>
    </row>
    <row r="655" spans="13:14" ht="12.5">
      <c r="M655" s="13"/>
      <c r="N655" s="13"/>
    </row>
    <row r="656" spans="13:14" ht="12.5">
      <c r="M656" s="13"/>
      <c r="N656" s="13"/>
    </row>
    <row r="657" spans="13:14" ht="12.5">
      <c r="M657" s="13"/>
      <c r="N657" s="13"/>
    </row>
    <row r="658" spans="13:14" ht="12.5">
      <c r="M658" s="13"/>
      <c r="N658" s="13"/>
    </row>
    <row r="659" spans="13:14" ht="12.5">
      <c r="M659" s="13"/>
      <c r="N659" s="13"/>
    </row>
    <row r="660" spans="13:14" ht="12.5">
      <c r="M660" s="13"/>
      <c r="N660" s="13"/>
    </row>
    <row r="661" spans="13:14" ht="12.5">
      <c r="M661" s="13"/>
      <c r="N661" s="13"/>
    </row>
    <row r="662" spans="13:14" ht="12.5">
      <c r="M662" s="13"/>
      <c r="N662" s="13"/>
    </row>
    <row r="663" spans="13:14" ht="12.5">
      <c r="M663" s="13"/>
      <c r="N663" s="13"/>
    </row>
    <row r="664" spans="13:14" ht="12.5">
      <c r="M664" s="13"/>
      <c r="N664" s="13"/>
    </row>
    <row r="665" spans="13:14" ht="12.5">
      <c r="M665" s="13"/>
      <c r="N665" s="13"/>
    </row>
    <row r="666" spans="13:14" ht="12.5">
      <c r="M666" s="13"/>
      <c r="N666" s="13"/>
    </row>
    <row r="667" spans="13:14" ht="12.5">
      <c r="M667" s="13"/>
      <c r="N667" s="13"/>
    </row>
    <row r="668" spans="13:14" ht="12.5">
      <c r="M668" s="13"/>
      <c r="N668" s="13"/>
    </row>
    <row r="669" spans="13:14" ht="12.5">
      <c r="M669" s="13"/>
      <c r="N669" s="13"/>
    </row>
    <row r="670" spans="13:14" ht="12.5">
      <c r="M670" s="13"/>
      <c r="N670" s="13"/>
    </row>
    <row r="671" spans="13:14" ht="12.5">
      <c r="M671" s="13"/>
      <c r="N671" s="13"/>
    </row>
    <row r="672" spans="13:14" ht="12.5">
      <c r="M672" s="13"/>
      <c r="N672" s="13"/>
    </row>
    <row r="673" spans="13:14" ht="12.5">
      <c r="M673" s="13"/>
      <c r="N673" s="13"/>
    </row>
    <row r="674" spans="13:14" ht="12.5">
      <c r="M674" s="13"/>
      <c r="N674" s="13"/>
    </row>
    <row r="675" spans="13:14" ht="12.5">
      <c r="M675" s="13"/>
      <c r="N675" s="13"/>
    </row>
    <row r="676" spans="13:14" ht="12.5">
      <c r="M676" s="13"/>
      <c r="N676" s="13"/>
    </row>
    <row r="677" spans="13:14" ht="12.5">
      <c r="M677" s="13"/>
      <c r="N677" s="13"/>
    </row>
    <row r="678" spans="13:14" ht="12.5">
      <c r="M678" s="13"/>
      <c r="N678" s="13"/>
    </row>
    <row r="679" spans="13:14" ht="12.5">
      <c r="M679" s="13"/>
      <c r="N679" s="13"/>
    </row>
    <row r="680" spans="13:14" ht="12.5">
      <c r="M680" s="13"/>
      <c r="N680" s="13"/>
    </row>
    <row r="681" spans="13:14" ht="12.5">
      <c r="M681" s="13"/>
      <c r="N681" s="13"/>
    </row>
    <row r="682" spans="13:14" ht="12.5">
      <c r="M682" s="13"/>
      <c r="N682" s="13"/>
    </row>
    <row r="683" spans="13:14" ht="12.5">
      <c r="M683" s="13"/>
      <c r="N683" s="13"/>
    </row>
    <row r="684" spans="13:14" ht="12.5">
      <c r="M684" s="13"/>
      <c r="N684" s="13"/>
    </row>
    <row r="685" spans="13:14" ht="12.5">
      <c r="M685" s="13"/>
      <c r="N685" s="13"/>
    </row>
    <row r="686" spans="13:14" ht="12.5">
      <c r="M686" s="13"/>
      <c r="N686" s="13"/>
    </row>
    <row r="687" spans="13:14" ht="12.5">
      <c r="M687" s="13"/>
      <c r="N687" s="13"/>
    </row>
    <row r="688" spans="13:14" ht="12.5">
      <c r="M688" s="13"/>
      <c r="N688" s="13"/>
    </row>
    <row r="689" spans="13:14" ht="12.5">
      <c r="M689" s="13"/>
      <c r="N689" s="13"/>
    </row>
    <row r="690" spans="13:14" ht="12.5">
      <c r="M690" s="13"/>
      <c r="N690" s="13"/>
    </row>
    <row r="691" spans="13:14" ht="12.5">
      <c r="M691" s="13"/>
      <c r="N691" s="13"/>
    </row>
    <row r="692" spans="13:14" ht="12.5">
      <c r="M692" s="13"/>
      <c r="N692" s="13"/>
    </row>
    <row r="693" spans="13:14" ht="12.5">
      <c r="M693" s="13"/>
      <c r="N693" s="13"/>
    </row>
    <row r="694" spans="13:14" ht="12.5">
      <c r="M694" s="13"/>
      <c r="N694" s="13"/>
    </row>
    <row r="695" spans="13:14" ht="12.5">
      <c r="M695" s="13"/>
      <c r="N695" s="13"/>
    </row>
    <row r="696" spans="13:14" ht="12.5">
      <c r="M696" s="13"/>
      <c r="N696" s="13"/>
    </row>
    <row r="697" spans="13:14" ht="12.5">
      <c r="M697" s="13"/>
      <c r="N697" s="13"/>
    </row>
    <row r="698" spans="13:14" ht="12.5">
      <c r="M698" s="13"/>
      <c r="N698" s="13"/>
    </row>
    <row r="699" spans="13:14" ht="12.5">
      <c r="M699" s="13"/>
      <c r="N699" s="13"/>
    </row>
    <row r="700" spans="13:14" ht="12.5">
      <c r="M700" s="13"/>
      <c r="N700" s="13"/>
    </row>
    <row r="701" spans="13:14" ht="12.5">
      <c r="M701" s="13"/>
      <c r="N701" s="13"/>
    </row>
    <row r="702" spans="13:14" ht="12.5">
      <c r="M702" s="13"/>
      <c r="N702" s="13"/>
    </row>
    <row r="703" spans="13:14" ht="12.5">
      <c r="M703" s="13"/>
      <c r="N703" s="13"/>
    </row>
    <row r="704" spans="13:14" ht="12.5">
      <c r="M704" s="13"/>
      <c r="N704" s="13"/>
    </row>
    <row r="705" spans="13:14" ht="12.5">
      <c r="M705" s="13"/>
      <c r="N705" s="13"/>
    </row>
    <row r="706" spans="13:14" ht="12.5">
      <c r="M706" s="13"/>
      <c r="N706" s="13"/>
    </row>
    <row r="707" spans="13:14" ht="12.5">
      <c r="M707" s="13"/>
      <c r="N707" s="13"/>
    </row>
    <row r="708" spans="13:14" ht="12.5">
      <c r="M708" s="13"/>
      <c r="N708" s="13"/>
    </row>
    <row r="709" spans="13:14" ht="12.5">
      <c r="M709" s="13"/>
      <c r="N709" s="13"/>
    </row>
    <row r="710" spans="13:14" ht="12.5">
      <c r="M710" s="13"/>
      <c r="N710" s="13"/>
    </row>
    <row r="711" spans="13:14" ht="12.5">
      <c r="M711" s="13"/>
      <c r="N711" s="13"/>
    </row>
    <row r="712" spans="13:14" ht="12.5">
      <c r="M712" s="13"/>
      <c r="N712" s="13"/>
    </row>
    <row r="713" spans="13:14" ht="12.5">
      <c r="M713" s="13"/>
      <c r="N713" s="13"/>
    </row>
    <row r="714" spans="13:14" ht="12.5">
      <c r="M714" s="13"/>
      <c r="N714" s="13"/>
    </row>
    <row r="715" spans="13:14" ht="12.5">
      <c r="M715" s="13"/>
      <c r="N715" s="13"/>
    </row>
    <row r="716" spans="13:14" ht="12.5">
      <c r="M716" s="13"/>
      <c r="N716" s="13"/>
    </row>
    <row r="717" spans="13:14" ht="12.5">
      <c r="M717" s="13"/>
      <c r="N717" s="13"/>
    </row>
    <row r="718" spans="13:14" ht="12.5">
      <c r="M718" s="13"/>
      <c r="N718" s="13"/>
    </row>
    <row r="719" spans="13:14" ht="12.5">
      <c r="M719" s="13"/>
      <c r="N719" s="13"/>
    </row>
    <row r="720" spans="13:14" ht="12.5">
      <c r="M720" s="13"/>
      <c r="N720" s="13"/>
    </row>
    <row r="721" spans="13:14" ht="12.5">
      <c r="M721" s="13"/>
      <c r="N721" s="13"/>
    </row>
    <row r="722" spans="13:14" ht="12.5">
      <c r="M722" s="13"/>
      <c r="N722" s="13"/>
    </row>
    <row r="723" spans="13:14" ht="12.5">
      <c r="M723" s="13"/>
      <c r="N723" s="13"/>
    </row>
    <row r="724" spans="13:14" ht="12.5">
      <c r="M724" s="13"/>
      <c r="N724" s="13"/>
    </row>
    <row r="725" spans="13:14" ht="12.5">
      <c r="M725" s="13"/>
      <c r="N725" s="13"/>
    </row>
    <row r="726" spans="13:14" ht="12.5">
      <c r="M726" s="13"/>
      <c r="N726" s="13"/>
    </row>
    <row r="727" spans="13:14" ht="12.5">
      <c r="M727" s="13"/>
      <c r="N727" s="13"/>
    </row>
    <row r="728" spans="13:14" ht="12.5">
      <c r="M728" s="13"/>
      <c r="N728" s="13"/>
    </row>
    <row r="729" spans="13:14" ht="12.5">
      <c r="M729" s="13"/>
      <c r="N729" s="13"/>
    </row>
    <row r="730" spans="13:14" ht="12.5">
      <c r="M730" s="13"/>
      <c r="N730" s="13"/>
    </row>
    <row r="731" spans="13:14" ht="12.5">
      <c r="M731" s="13"/>
      <c r="N731" s="13"/>
    </row>
    <row r="732" spans="13:14" ht="12.5">
      <c r="M732" s="13"/>
      <c r="N732" s="13"/>
    </row>
    <row r="733" spans="13:14" ht="12.5">
      <c r="M733" s="13"/>
      <c r="N733" s="13"/>
    </row>
    <row r="734" spans="13:14" ht="12.5">
      <c r="M734" s="13"/>
      <c r="N734" s="13"/>
    </row>
    <row r="735" spans="13:14" ht="12.5">
      <c r="M735" s="13"/>
      <c r="N735" s="13"/>
    </row>
    <row r="736" spans="13:14" ht="12.5">
      <c r="M736" s="13"/>
      <c r="N736" s="13"/>
    </row>
    <row r="737" spans="13:14" ht="12.5">
      <c r="M737" s="13"/>
      <c r="N737" s="13"/>
    </row>
    <row r="738" spans="13:14" ht="12.5">
      <c r="M738" s="13"/>
      <c r="N738" s="13"/>
    </row>
    <row r="739" spans="13:14" ht="12.5">
      <c r="M739" s="13"/>
      <c r="N739" s="13"/>
    </row>
    <row r="740" spans="13:14" ht="12.5">
      <c r="M740" s="13"/>
      <c r="N740" s="13"/>
    </row>
    <row r="741" spans="13:14" ht="12.5">
      <c r="M741" s="13"/>
      <c r="N741" s="13"/>
    </row>
    <row r="742" spans="13:14" ht="12.5">
      <c r="M742" s="13"/>
      <c r="N742" s="13"/>
    </row>
    <row r="743" spans="13:14" ht="12.5">
      <c r="M743" s="13"/>
      <c r="N743" s="13"/>
    </row>
    <row r="744" spans="13:14" ht="12.5">
      <c r="M744" s="13"/>
      <c r="N744" s="13"/>
    </row>
    <row r="745" spans="13:14" ht="12.5">
      <c r="M745" s="13"/>
      <c r="N745" s="13"/>
    </row>
    <row r="746" spans="13:14" ht="12.5">
      <c r="M746" s="13"/>
      <c r="N746" s="13"/>
    </row>
    <row r="747" spans="13:14" ht="12.5">
      <c r="M747" s="13"/>
      <c r="N747" s="13"/>
    </row>
    <row r="748" spans="13:14" ht="12.5">
      <c r="M748" s="13"/>
      <c r="N748" s="13"/>
    </row>
    <row r="749" spans="13:14" ht="12.5">
      <c r="M749" s="13"/>
      <c r="N749" s="13"/>
    </row>
    <row r="750" spans="13:14" ht="12.5">
      <c r="M750" s="13"/>
      <c r="N750" s="13"/>
    </row>
    <row r="751" spans="13:14" ht="12.5">
      <c r="M751" s="13"/>
      <c r="N751" s="13"/>
    </row>
    <row r="752" spans="13:14" ht="12.5">
      <c r="M752" s="13"/>
      <c r="N752" s="13"/>
    </row>
    <row r="753" spans="13:14" ht="12.5">
      <c r="M753" s="13"/>
      <c r="N753" s="13"/>
    </row>
    <row r="754" spans="13:14" ht="12.5">
      <c r="M754" s="13"/>
      <c r="N754" s="13"/>
    </row>
    <row r="755" spans="13:14" ht="12.5">
      <c r="M755" s="13"/>
      <c r="N755" s="13"/>
    </row>
    <row r="756" spans="13:14" ht="12.5">
      <c r="M756" s="13"/>
      <c r="N756" s="13"/>
    </row>
    <row r="757" spans="13:14" ht="12.5">
      <c r="M757" s="13"/>
      <c r="N757" s="13"/>
    </row>
    <row r="758" spans="13:14" ht="12.5">
      <c r="M758" s="13"/>
      <c r="N758" s="13"/>
    </row>
    <row r="759" spans="13:14" ht="12.5">
      <c r="M759" s="13"/>
      <c r="N759" s="13"/>
    </row>
    <row r="760" spans="13:14" ht="12.5">
      <c r="M760" s="13"/>
      <c r="N760" s="13"/>
    </row>
    <row r="761" spans="13:14" ht="12.5">
      <c r="M761" s="13"/>
      <c r="N761" s="13"/>
    </row>
    <row r="762" spans="13:14" ht="12.5">
      <c r="M762" s="13"/>
      <c r="N762" s="13"/>
    </row>
    <row r="763" spans="13:14" ht="12.5">
      <c r="M763" s="13"/>
      <c r="N763" s="13"/>
    </row>
    <row r="764" spans="13:14" ht="12.5">
      <c r="M764" s="13"/>
      <c r="N764" s="13"/>
    </row>
    <row r="765" spans="13:14" ht="12.5">
      <c r="M765" s="13"/>
      <c r="N765" s="13"/>
    </row>
    <row r="766" spans="13:14" ht="12.5">
      <c r="M766" s="13"/>
      <c r="N766" s="13"/>
    </row>
    <row r="767" spans="13:14" ht="12.5">
      <c r="M767" s="13"/>
      <c r="N767" s="13"/>
    </row>
    <row r="768" spans="13:14" ht="12.5">
      <c r="M768" s="13"/>
      <c r="N768" s="13"/>
    </row>
    <row r="769" spans="13:14" ht="12.5">
      <c r="M769" s="13"/>
      <c r="N769" s="13"/>
    </row>
    <row r="770" spans="13:14" ht="12.5">
      <c r="M770" s="13"/>
      <c r="N770" s="13"/>
    </row>
    <row r="771" spans="13:14" ht="12.5">
      <c r="M771" s="13"/>
      <c r="N771" s="13"/>
    </row>
    <row r="772" spans="13:14" ht="12.5">
      <c r="M772" s="13"/>
      <c r="N772" s="13"/>
    </row>
    <row r="773" spans="13:14" ht="12.5">
      <c r="M773" s="13"/>
      <c r="N773" s="13"/>
    </row>
    <row r="774" spans="13:14" ht="12.5">
      <c r="M774" s="13"/>
      <c r="N774" s="13"/>
    </row>
    <row r="775" spans="13:14" ht="12.5">
      <c r="M775" s="13"/>
      <c r="N775" s="13"/>
    </row>
    <row r="776" spans="13:14" ht="12.5">
      <c r="M776" s="13"/>
      <c r="N776" s="13"/>
    </row>
    <row r="777" spans="13:14" ht="12.5">
      <c r="M777" s="13"/>
      <c r="N777" s="13"/>
    </row>
    <row r="778" spans="13:14" ht="12.5">
      <c r="M778" s="13"/>
      <c r="N778" s="13"/>
    </row>
    <row r="779" spans="13:14" ht="12.5">
      <c r="M779" s="13"/>
      <c r="N779" s="13"/>
    </row>
    <row r="780" spans="13:14" ht="12.5">
      <c r="M780" s="13"/>
      <c r="N780" s="13"/>
    </row>
    <row r="781" spans="13:14" ht="12.5">
      <c r="M781" s="13"/>
      <c r="N781" s="13"/>
    </row>
    <row r="782" spans="13:14" ht="12.5">
      <c r="M782" s="13"/>
      <c r="N782" s="13"/>
    </row>
    <row r="783" spans="13:14" ht="12.5">
      <c r="M783" s="13"/>
      <c r="N783" s="13"/>
    </row>
    <row r="784" spans="13:14" ht="12.5">
      <c r="M784" s="13"/>
      <c r="N784" s="13"/>
    </row>
    <row r="785" spans="13:14" ht="12.5">
      <c r="M785" s="13"/>
      <c r="N785" s="13"/>
    </row>
    <row r="786" spans="13:14" ht="12.5">
      <c r="M786" s="13"/>
      <c r="N786" s="13"/>
    </row>
    <row r="787" spans="13:14" ht="12.5">
      <c r="M787" s="13"/>
      <c r="N787" s="13"/>
    </row>
    <row r="788" spans="13:14" ht="12.5">
      <c r="M788" s="13"/>
      <c r="N788" s="13"/>
    </row>
    <row r="789" spans="13:14" ht="12.5">
      <c r="M789" s="13"/>
      <c r="N789" s="13"/>
    </row>
    <row r="790" spans="13:14" ht="12.5">
      <c r="M790" s="13"/>
      <c r="N790" s="13"/>
    </row>
    <row r="791" spans="13:14" ht="12.5">
      <c r="M791" s="13"/>
      <c r="N791" s="13"/>
    </row>
    <row r="792" spans="13:14" ht="12.5">
      <c r="M792" s="13"/>
      <c r="N792" s="13"/>
    </row>
    <row r="793" spans="13:14" ht="12.5">
      <c r="M793" s="13"/>
      <c r="N793" s="13"/>
    </row>
    <row r="794" spans="13:14" ht="12.5">
      <c r="M794" s="13"/>
      <c r="N794" s="13"/>
    </row>
    <row r="795" spans="13:14" ht="12.5">
      <c r="M795" s="13"/>
      <c r="N795" s="13"/>
    </row>
    <row r="796" spans="13:14" ht="12.5">
      <c r="M796" s="13"/>
      <c r="N796" s="13"/>
    </row>
    <row r="797" spans="13:14" ht="12.5">
      <c r="M797" s="13"/>
      <c r="N797" s="13"/>
    </row>
    <row r="798" spans="13:14" ht="12.5">
      <c r="M798" s="13"/>
      <c r="N798" s="13"/>
    </row>
    <row r="799" spans="13:14" ht="12.5">
      <c r="M799" s="13"/>
      <c r="N799" s="13"/>
    </row>
    <row r="800" spans="13:14" ht="12.5">
      <c r="M800" s="13"/>
      <c r="N800" s="13"/>
    </row>
    <row r="801" spans="13:14" ht="12.5">
      <c r="M801" s="13"/>
      <c r="N801" s="13"/>
    </row>
    <row r="802" spans="13:14" ht="12.5">
      <c r="M802" s="13"/>
      <c r="N802" s="13"/>
    </row>
    <row r="803" spans="13:14" ht="12.5">
      <c r="M803" s="13"/>
      <c r="N803" s="13"/>
    </row>
    <row r="804" spans="13:14" ht="12.5">
      <c r="M804" s="13"/>
      <c r="N804" s="13"/>
    </row>
    <row r="805" spans="13:14" ht="12.5">
      <c r="M805" s="13"/>
      <c r="N805" s="13"/>
    </row>
    <row r="806" spans="13:14" ht="12.5">
      <c r="M806" s="13"/>
      <c r="N806" s="13"/>
    </row>
    <row r="807" spans="13:14" ht="12.5">
      <c r="M807" s="13"/>
      <c r="N807" s="13"/>
    </row>
    <row r="808" spans="13:14" ht="12.5">
      <c r="M808" s="13"/>
      <c r="N808" s="13"/>
    </row>
    <row r="809" spans="13:14" ht="12.5">
      <c r="M809" s="13"/>
      <c r="N809" s="13"/>
    </row>
    <row r="810" spans="13:14" ht="12.5">
      <c r="M810" s="13"/>
      <c r="N810" s="13"/>
    </row>
    <row r="811" spans="13:14" ht="12.5">
      <c r="M811" s="13"/>
      <c r="N811" s="13"/>
    </row>
    <row r="812" spans="13:14" ht="12.5">
      <c r="M812" s="13"/>
      <c r="N812" s="13"/>
    </row>
    <row r="813" spans="13:14" ht="12.5">
      <c r="M813" s="13"/>
      <c r="N813" s="13"/>
    </row>
    <row r="814" spans="13:14" ht="12.5">
      <c r="M814" s="13"/>
      <c r="N814" s="13"/>
    </row>
    <row r="815" spans="13:14" ht="12.5">
      <c r="M815" s="13"/>
      <c r="N815" s="13"/>
    </row>
    <row r="816" spans="13:14" ht="12.5">
      <c r="M816" s="13"/>
      <c r="N816" s="13"/>
    </row>
    <row r="817" spans="13:14" ht="12.5">
      <c r="M817" s="13"/>
      <c r="N817" s="13"/>
    </row>
    <row r="818" spans="13:14" ht="12.5">
      <c r="M818" s="13"/>
      <c r="N818" s="13"/>
    </row>
    <row r="819" spans="13:14" ht="12.5">
      <c r="M819" s="13"/>
      <c r="N819" s="13"/>
    </row>
    <row r="820" spans="13:14" ht="12.5">
      <c r="M820" s="13"/>
      <c r="N820" s="13"/>
    </row>
    <row r="821" spans="13:14" ht="12.5">
      <c r="M821" s="13"/>
      <c r="N821" s="13"/>
    </row>
    <row r="822" spans="13:14" ht="12.5">
      <c r="M822" s="13"/>
      <c r="N822" s="13"/>
    </row>
    <row r="823" spans="13:14" ht="12.5">
      <c r="M823" s="13"/>
      <c r="N823" s="13"/>
    </row>
    <row r="824" spans="13:14" ht="12.5">
      <c r="M824" s="13"/>
      <c r="N824" s="13"/>
    </row>
    <row r="825" spans="13:14" ht="12.5">
      <c r="M825" s="13"/>
      <c r="N825" s="13"/>
    </row>
    <row r="826" spans="13:14" ht="12.5">
      <c r="M826" s="13"/>
      <c r="N826" s="13"/>
    </row>
    <row r="827" spans="13:14" ht="12.5">
      <c r="M827" s="13"/>
      <c r="N827" s="13"/>
    </row>
    <row r="828" spans="13:14" ht="12.5">
      <c r="M828" s="13"/>
      <c r="N828" s="13"/>
    </row>
    <row r="829" spans="13:14" ht="12.5">
      <c r="M829" s="13"/>
      <c r="N829" s="13"/>
    </row>
    <row r="830" spans="13:14" ht="12.5">
      <c r="M830" s="13"/>
      <c r="N830" s="13"/>
    </row>
    <row r="831" spans="13:14" ht="12.5">
      <c r="M831" s="13"/>
      <c r="N831" s="13"/>
    </row>
    <row r="832" spans="13:14" ht="12.5">
      <c r="M832" s="13"/>
      <c r="N832" s="13"/>
    </row>
    <row r="833" spans="13:14" ht="12.5">
      <c r="M833" s="13"/>
      <c r="N833" s="13"/>
    </row>
    <row r="834" spans="13:14" ht="12.5">
      <c r="M834" s="13"/>
      <c r="N834" s="13"/>
    </row>
    <row r="835" spans="13:14" ht="12.5">
      <c r="M835" s="13"/>
      <c r="N835" s="13"/>
    </row>
    <row r="836" spans="13:14" ht="12.5">
      <c r="M836" s="13"/>
      <c r="N836" s="13"/>
    </row>
    <row r="837" spans="13:14" ht="12.5">
      <c r="M837" s="13"/>
      <c r="N837" s="13"/>
    </row>
    <row r="838" spans="13:14" ht="12.5">
      <c r="M838" s="13"/>
      <c r="N838" s="13"/>
    </row>
    <row r="839" spans="13:14" ht="12.5">
      <c r="M839" s="13"/>
      <c r="N839" s="13"/>
    </row>
    <row r="840" spans="13:14" ht="12.5">
      <c r="M840" s="13"/>
      <c r="N840" s="13"/>
    </row>
    <row r="841" spans="13:14" ht="12.5">
      <c r="M841" s="13"/>
      <c r="N841" s="13"/>
    </row>
    <row r="842" spans="13:14" ht="12.5">
      <c r="M842" s="13"/>
      <c r="N842" s="13"/>
    </row>
    <row r="843" spans="13:14" ht="12.5">
      <c r="M843" s="13"/>
      <c r="N843" s="13"/>
    </row>
    <row r="844" spans="13:14" ht="12.5">
      <c r="M844" s="13"/>
      <c r="N844" s="13"/>
    </row>
    <row r="845" spans="13:14" ht="12.5">
      <c r="M845" s="13"/>
      <c r="N845" s="13"/>
    </row>
    <row r="846" spans="13:14" ht="12.5">
      <c r="M846" s="13"/>
      <c r="N846" s="13"/>
    </row>
    <row r="847" spans="13:14" ht="12.5">
      <c r="M847" s="13"/>
      <c r="N847" s="13"/>
    </row>
    <row r="848" spans="13:14" ht="12.5">
      <c r="M848" s="13"/>
      <c r="N848" s="13"/>
    </row>
    <row r="849" spans="13:14" ht="12.5">
      <c r="M849" s="13"/>
      <c r="N849" s="13"/>
    </row>
    <row r="850" spans="13:14" ht="12.5">
      <c r="M850" s="13"/>
      <c r="N850" s="13"/>
    </row>
    <row r="851" spans="13:14" ht="12.5">
      <c r="M851" s="13"/>
      <c r="N851" s="13"/>
    </row>
    <row r="852" spans="13:14" ht="12.5">
      <c r="M852" s="13"/>
      <c r="N852" s="13"/>
    </row>
    <row r="853" spans="13:14" ht="12.5">
      <c r="M853" s="13"/>
      <c r="N853" s="13"/>
    </row>
    <row r="854" spans="13:14" ht="12.5">
      <c r="M854" s="13"/>
      <c r="N854" s="13"/>
    </row>
    <row r="855" spans="13:14" ht="12.5">
      <c r="M855" s="13"/>
      <c r="N855" s="13"/>
    </row>
    <row r="856" spans="13:14" ht="12.5">
      <c r="M856" s="13"/>
      <c r="N856" s="13"/>
    </row>
    <row r="857" spans="13:14" ht="12.5">
      <c r="M857" s="13"/>
      <c r="N857" s="13"/>
    </row>
    <row r="858" spans="13:14" ht="12.5">
      <c r="M858" s="13"/>
      <c r="N858" s="13"/>
    </row>
    <row r="859" spans="13:14" ht="12.5">
      <c r="M859" s="13"/>
      <c r="N859" s="13"/>
    </row>
    <row r="860" spans="13:14" ht="12.5">
      <c r="M860" s="13"/>
      <c r="N860" s="13"/>
    </row>
    <row r="861" spans="13:14" ht="12.5">
      <c r="M861" s="13"/>
      <c r="N861" s="13"/>
    </row>
    <row r="862" spans="13:14" ht="12.5">
      <c r="M862" s="13"/>
      <c r="N862" s="13"/>
    </row>
    <row r="863" spans="13:14" ht="12.5">
      <c r="M863" s="13"/>
      <c r="N863" s="13"/>
    </row>
    <row r="864" spans="13:14" ht="12.5">
      <c r="M864" s="13"/>
      <c r="N864" s="13"/>
    </row>
    <row r="865" spans="13:14" ht="12.5">
      <c r="M865" s="13"/>
      <c r="N865" s="13"/>
    </row>
    <row r="866" spans="13:14" ht="12.5">
      <c r="M866" s="13"/>
      <c r="N866" s="13"/>
    </row>
    <row r="867" spans="13:14" ht="12.5">
      <c r="M867" s="13"/>
      <c r="N867" s="13"/>
    </row>
    <row r="868" spans="13:14" ht="12.5">
      <c r="M868" s="13"/>
      <c r="N868" s="13"/>
    </row>
    <row r="869" spans="13:14" ht="12.5">
      <c r="M869" s="13"/>
      <c r="N869" s="13"/>
    </row>
    <row r="870" spans="13:14" ht="12.5">
      <c r="M870" s="13"/>
      <c r="N870" s="13"/>
    </row>
    <row r="871" spans="13:14" ht="12.5">
      <c r="M871" s="13"/>
      <c r="N871" s="13"/>
    </row>
    <row r="872" spans="13:14" ht="12.5">
      <c r="M872" s="13"/>
      <c r="N872" s="13"/>
    </row>
    <row r="873" spans="13:14" ht="12.5">
      <c r="M873" s="13"/>
      <c r="N873" s="13"/>
    </row>
    <row r="874" spans="13:14" ht="12.5">
      <c r="M874" s="13"/>
      <c r="N874" s="13"/>
    </row>
    <row r="875" spans="13:14" ht="12.5">
      <c r="M875" s="13"/>
      <c r="N875" s="13"/>
    </row>
    <row r="876" spans="13:14" ht="12.5">
      <c r="M876" s="13"/>
      <c r="N876" s="13"/>
    </row>
    <row r="877" spans="13:14" ht="12.5">
      <c r="M877" s="13"/>
      <c r="N877" s="13"/>
    </row>
    <row r="878" spans="13:14" ht="12.5">
      <c r="M878" s="13"/>
      <c r="N878" s="13"/>
    </row>
    <row r="879" spans="13:14" ht="12.5">
      <c r="M879" s="13"/>
      <c r="N879" s="13"/>
    </row>
    <row r="880" spans="13:14" ht="12.5">
      <c r="M880" s="13"/>
      <c r="N880" s="13"/>
    </row>
    <row r="881" spans="13:14" ht="12.5">
      <c r="M881" s="13"/>
      <c r="N881" s="13"/>
    </row>
    <row r="882" spans="13:14" ht="12.5">
      <c r="M882" s="13"/>
      <c r="N882" s="13"/>
    </row>
    <row r="883" spans="13:14" ht="12.5">
      <c r="M883" s="13"/>
      <c r="N883" s="13"/>
    </row>
    <row r="884" spans="13:14" ht="12.5">
      <c r="M884" s="13"/>
      <c r="N884" s="13"/>
    </row>
    <row r="885" spans="13:14" ht="12.5">
      <c r="M885" s="13"/>
      <c r="N885" s="13"/>
    </row>
    <row r="886" spans="13:14" ht="12.5">
      <c r="M886" s="13"/>
      <c r="N886" s="13"/>
    </row>
    <row r="887" spans="13:14" ht="12.5">
      <c r="M887" s="13"/>
      <c r="N887" s="13"/>
    </row>
    <row r="888" spans="13:14" ht="12.5">
      <c r="M888" s="13"/>
      <c r="N888" s="13"/>
    </row>
    <row r="889" spans="13:14" ht="12.5">
      <c r="M889" s="13"/>
      <c r="N889" s="13"/>
    </row>
    <row r="890" spans="13:14" ht="12.5">
      <c r="M890" s="13"/>
      <c r="N890" s="13"/>
    </row>
    <row r="891" spans="13:14" ht="12.5">
      <c r="M891" s="13"/>
      <c r="N891" s="13"/>
    </row>
    <row r="892" spans="13:14" ht="12.5">
      <c r="M892" s="13"/>
      <c r="N892" s="13"/>
    </row>
    <row r="893" spans="13:14" ht="12.5">
      <c r="M893" s="13"/>
      <c r="N893" s="13"/>
    </row>
    <row r="894" spans="13:14" ht="12.5">
      <c r="M894" s="13"/>
      <c r="N894" s="13"/>
    </row>
    <row r="895" spans="13:14" ht="12.5">
      <c r="M895" s="13"/>
      <c r="N895" s="13"/>
    </row>
    <row r="896" spans="13:14" ht="12.5">
      <c r="M896" s="13"/>
      <c r="N896" s="13"/>
    </row>
    <row r="897" spans="13:14" ht="12.5">
      <c r="M897" s="13"/>
      <c r="N897" s="13"/>
    </row>
    <row r="898" spans="13:14" ht="12.5">
      <c r="M898" s="13"/>
      <c r="N898" s="13"/>
    </row>
    <row r="899" spans="13:14" ht="12.5">
      <c r="M899" s="13"/>
      <c r="N899" s="13"/>
    </row>
    <row r="900" spans="13:14" ht="12.5">
      <c r="M900" s="13"/>
      <c r="N900" s="13"/>
    </row>
    <row r="901" spans="13:14" ht="12.5">
      <c r="M901" s="13"/>
      <c r="N901" s="13"/>
    </row>
    <row r="902" spans="13:14" ht="12.5">
      <c r="M902" s="13"/>
      <c r="N902" s="13"/>
    </row>
    <row r="903" spans="13:14" ht="12.5">
      <c r="M903" s="13"/>
      <c r="N903" s="13"/>
    </row>
    <row r="904" spans="13:14" ht="12.5">
      <c r="M904" s="13"/>
      <c r="N904" s="13"/>
    </row>
    <row r="905" spans="13:14" ht="12.5">
      <c r="M905" s="13"/>
      <c r="N905" s="13"/>
    </row>
    <row r="906" spans="13:14" ht="12.5">
      <c r="M906" s="13"/>
      <c r="N906" s="13"/>
    </row>
    <row r="907" spans="13:14" ht="12.5">
      <c r="M907" s="13"/>
      <c r="N907" s="13"/>
    </row>
    <row r="908" spans="13:14" ht="12.5">
      <c r="M908" s="13"/>
      <c r="N908" s="13"/>
    </row>
    <row r="909" spans="13:14" ht="12.5">
      <c r="M909" s="13"/>
      <c r="N909" s="13"/>
    </row>
    <row r="910" spans="13:14" ht="12.5">
      <c r="M910" s="13"/>
      <c r="N910" s="13"/>
    </row>
    <row r="911" spans="13:14" ht="12.5">
      <c r="M911" s="13"/>
      <c r="N911" s="13"/>
    </row>
    <row r="912" spans="13:14" ht="12.5">
      <c r="M912" s="13"/>
      <c r="N912" s="13"/>
    </row>
    <row r="913" spans="13:14" ht="12.5">
      <c r="M913" s="13"/>
      <c r="N913" s="13"/>
    </row>
    <row r="914" spans="13:14" ht="12.5">
      <c r="M914" s="13"/>
      <c r="N914" s="13"/>
    </row>
    <row r="915" spans="13:14" ht="12.5">
      <c r="M915" s="13"/>
      <c r="N915" s="13"/>
    </row>
    <row r="916" spans="13:14" ht="12.5">
      <c r="M916" s="13"/>
      <c r="N916" s="13"/>
    </row>
    <row r="917" spans="13:14" ht="12.5">
      <c r="M917" s="13"/>
      <c r="N917" s="13"/>
    </row>
    <row r="918" spans="13:14" ht="12.5">
      <c r="M918" s="13"/>
      <c r="N918" s="13"/>
    </row>
    <row r="919" spans="13:14" ht="12.5">
      <c r="M919" s="13"/>
      <c r="N919" s="13"/>
    </row>
    <row r="920" spans="13:14" ht="12.5">
      <c r="M920" s="13"/>
      <c r="N920" s="13"/>
    </row>
    <row r="921" spans="13:14" ht="12.5">
      <c r="M921" s="13"/>
      <c r="N921" s="13"/>
    </row>
    <row r="922" spans="13:14" ht="12.5">
      <c r="M922" s="13"/>
      <c r="N922" s="13"/>
    </row>
    <row r="923" spans="13:14" ht="12.5">
      <c r="M923" s="13"/>
      <c r="N923" s="13"/>
    </row>
    <row r="924" spans="13:14" ht="12.5">
      <c r="M924" s="13"/>
      <c r="N924" s="13"/>
    </row>
    <row r="925" spans="13:14" ht="12.5">
      <c r="M925" s="13"/>
      <c r="N925" s="13"/>
    </row>
    <row r="926" spans="13:14" ht="12.5">
      <c r="M926" s="13"/>
      <c r="N926" s="13"/>
    </row>
    <row r="927" spans="13:14" ht="12.5">
      <c r="M927" s="13"/>
      <c r="N927" s="13"/>
    </row>
    <row r="928" spans="13:14" ht="12.5">
      <c r="M928" s="13"/>
      <c r="N928" s="13"/>
    </row>
    <row r="929" spans="13:14" ht="12.5">
      <c r="M929" s="13"/>
      <c r="N929" s="13"/>
    </row>
    <row r="930" spans="13:14" ht="12.5">
      <c r="M930" s="13"/>
      <c r="N930" s="13"/>
    </row>
    <row r="931" spans="13:14" ht="12.5">
      <c r="M931" s="13"/>
      <c r="N931" s="13"/>
    </row>
    <row r="932" spans="13:14" ht="12.5">
      <c r="M932" s="13"/>
      <c r="N932" s="13"/>
    </row>
    <row r="933" spans="13:14" ht="12.5">
      <c r="M933" s="13"/>
      <c r="N933" s="13"/>
    </row>
    <row r="934" spans="13:14" ht="12.5">
      <c r="M934" s="13"/>
      <c r="N934" s="13"/>
    </row>
    <row r="935" spans="13:14" ht="12.5">
      <c r="M935" s="13"/>
      <c r="N935" s="13"/>
    </row>
    <row r="936" spans="13:14" ht="12.5">
      <c r="M936" s="13"/>
      <c r="N936" s="13"/>
    </row>
    <row r="937" spans="13:14" ht="12.5">
      <c r="M937" s="13"/>
      <c r="N937" s="13"/>
    </row>
    <row r="938" spans="13:14" ht="12.5">
      <c r="M938" s="13"/>
      <c r="N938" s="13"/>
    </row>
    <row r="939" spans="13:14" ht="12.5">
      <c r="M939" s="13"/>
      <c r="N939" s="13"/>
    </row>
    <row r="940" spans="13:14" ht="12.5">
      <c r="M940" s="13"/>
      <c r="N940" s="13"/>
    </row>
    <row r="941" spans="13:14" ht="12.5">
      <c r="M941" s="13"/>
      <c r="N941" s="13"/>
    </row>
    <row r="942" spans="13:14" ht="12.5">
      <c r="M942" s="13"/>
      <c r="N942" s="13"/>
    </row>
    <row r="943" spans="13:14" ht="12.5">
      <c r="M943" s="13"/>
      <c r="N943" s="13"/>
    </row>
    <row r="944" spans="13:14" ht="12.5">
      <c r="M944" s="13"/>
      <c r="N944" s="13"/>
    </row>
    <row r="945" spans="13:14" ht="12.5">
      <c r="M945" s="13"/>
      <c r="N945" s="13"/>
    </row>
    <row r="946" spans="13:14" ht="12.5">
      <c r="M946" s="13"/>
      <c r="N946" s="13"/>
    </row>
    <row r="947" spans="13:14" ht="12.5">
      <c r="M947" s="13"/>
      <c r="N947" s="13"/>
    </row>
    <row r="948" spans="13:14" ht="12.5">
      <c r="M948" s="13"/>
      <c r="N948" s="13"/>
    </row>
    <row r="949" spans="13:14" ht="12.5">
      <c r="M949" s="13"/>
      <c r="N949" s="13"/>
    </row>
    <row r="950" spans="13:14" ht="12.5">
      <c r="M950" s="13"/>
      <c r="N950" s="13"/>
    </row>
    <row r="951" spans="13:14" ht="12.5">
      <c r="M951" s="13"/>
      <c r="N951" s="13"/>
    </row>
    <row r="952" spans="13:14" ht="12.5">
      <c r="M952" s="13"/>
      <c r="N952" s="13"/>
    </row>
    <row r="953" spans="13:14" ht="12.5">
      <c r="M953" s="13"/>
      <c r="N953" s="13"/>
    </row>
    <row r="954" spans="13:14" ht="12.5">
      <c r="M954" s="13"/>
      <c r="N954" s="13"/>
    </row>
    <row r="955" spans="13:14" ht="12.5">
      <c r="M955" s="13"/>
      <c r="N955" s="13"/>
    </row>
    <row r="956" spans="13:14" ht="12.5">
      <c r="M956" s="13"/>
      <c r="N956" s="13"/>
    </row>
    <row r="957" spans="13:14" ht="12.5">
      <c r="M957" s="13"/>
      <c r="N957" s="13"/>
    </row>
    <row r="958" spans="13:14" ht="12.5">
      <c r="M958" s="13"/>
      <c r="N958" s="13"/>
    </row>
    <row r="959" spans="13:14" ht="12.5">
      <c r="M959" s="13"/>
      <c r="N959" s="13"/>
    </row>
    <row r="960" spans="13:14" ht="12.5">
      <c r="M960" s="13"/>
      <c r="N960" s="13"/>
    </row>
    <row r="961" spans="13:14" ht="12.5">
      <c r="M961" s="13"/>
      <c r="N961" s="13"/>
    </row>
    <row r="962" spans="13:14" ht="12.5">
      <c r="M962" s="13"/>
      <c r="N962" s="13"/>
    </row>
    <row r="963" spans="13:14" ht="12.5">
      <c r="M963" s="13"/>
      <c r="N963" s="13"/>
    </row>
    <row r="964" spans="13:14" ht="12.5">
      <c r="M964" s="13"/>
      <c r="N964" s="13"/>
    </row>
    <row r="965" spans="13:14" ht="12.5">
      <c r="M965" s="13"/>
      <c r="N965" s="13"/>
    </row>
    <row r="966" spans="13:14" ht="12.5">
      <c r="M966" s="13"/>
      <c r="N966" s="13"/>
    </row>
    <row r="967" spans="13:14" ht="12.5">
      <c r="M967" s="13"/>
      <c r="N967" s="13"/>
    </row>
    <row r="968" spans="13:14" ht="12.5">
      <c r="M968" s="13"/>
      <c r="N968" s="13"/>
    </row>
    <row r="969" spans="13:14" ht="12.5">
      <c r="M969" s="13"/>
      <c r="N969" s="13"/>
    </row>
    <row r="970" spans="13:14" ht="12.5">
      <c r="M970" s="13"/>
      <c r="N970" s="13"/>
    </row>
    <row r="971" spans="13:14" ht="12.5">
      <c r="M971" s="13"/>
      <c r="N971" s="13"/>
    </row>
    <row r="972" spans="13:14" ht="12.5">
      <c r="M972" s="13"/>
      <c r="N972" s="13"/>
    </row>
    <row r="973" spans="13:14" ht="12.5">
      <c r="M973" s="13"/>
      <c r="N973" s="13"/>
    </row>
    <row r="974" spans="13:14" ht="12.5">
      <c r="M974" s="13"/>
      <c r="N974" s="13"/>
    </row>
    <row r="975" spans="13:14" ht="12.5">
      <c r="M975" s="13"/>
      <c r="N975" s="13"/>
    </row>
    <row r="976" spans="13:14" ht="12.5">
      <c r="M976" s="13"/>
      <c r="N976" s="13"/>
    </row>
    <row r="977" spans="13:14" ht="12.5">
      <c r="M977" s="13"/>
      <c r="N977" s="13"/>
    </row>
    <row r="978" spans="13:14" ht="12.5">
      <c r="M978" s="13"/>
      <c r="N978" s="13"/>
    </row>
    <row r="979" spans="13:14" ht="12.5">
      <c r="M979" s="13"/>
      <c r="N979" s="13"/>
    </row>
    <row r="980" spans="13:14" ht="12.5">
      <c r="M980" s="13"/>
      <c r="N980" s="13"/>
    </row>
    <row r="981" spans="13:14" ht="12.5">
      <c r="M981" s="13"/>
      <c r="N981" s="13"/>
    </row>
    <row r="982" spans="13:14" ht="12.5">
      <c r="M982" s="13"/>
      <c r="N982" s="13"/>
    </row>
    <row r="983" spans="13:14" ht="12.5">
      <c r="M983" s="13"/>
      <c r="N983" s="13"/>
    </row>
    <row r="984" spans="13:14" ht="12.5">
      <c r="M984" s="13"/>
      <c r="N984" s="13"/>
    </row>
    <row r="985" spans="13:14" ht="12.5">
      <c r="M985" s="13"/>
      <c r="N985" s="13"/>
    </row>
    <row r="986" spans="13:14" ht="12.5">
      <c r="M986" s="13"/>
      <c r="N986" s="13"/>
    </row>
    <row r="987" spans="13:14" ht="12.5">
      <c r="M987" s="13"/>
      <c r="N987" s="13"/>
    </row>
    <row r="988" spans="13:14" ht="12.5">
      <c r="M988" s="13"/>
      <c r="N988" s="13"/>
    </row>
    <row r="989" spans="13:14" ht="12.5">
      <c r="M989" s="13"/>
      <c r="N989" s="13"/>
    </row>
    <row r="990" spans="13:14" ht="12.5">
      <c r="M990" s="13"/>
      <c r="N990" s="13"/>
    </row>
    <row r="991" spans="13:14" ht="12.5">
      <c r="M991" s="13"/>
      <c r="N991" s="13"/>
    </row>
    <row r="992" spans="13:14" ht="12.5">
      <c r="M992" s="13"/>
      <c r="N992" s="13"/>
    </row>
    <row r="993" spans="13:14" ht="12.5">
      <c r="M993" s="13"/>
      <c r="N993" s="13"/>
    </row>
    <row r="994" spans="13:14" ht="12.5">
      <c r="M994" s="13"/>
      <c r="N994" s="13"/>
    </row>
    <row r="995" spans="13:14" ht="12.5">
      <c r="M995" s="13"/>
      <c r="N995" s="13"/>
    </row>
    <row r="996" spans="13:14" ht="12.5">
      <c r="M996" s="13"/>
      <c r="N996" s="13"/>
    </row>
    <row r="997" spans="13:14" ht="12.5">
      <c r="M997" s="13"/>
      <c r="N997" s="13"/>
    </row>
    <row r="998" spans="13:14" ht="12.5">
      <c r="M998" s="13"/>
      <c r="N998" s="13"/>
    </row>
    <row r="999" spans="13:14" ht="12.5">
      <c r="M999" s="13"/>
      <c r="N999" s="13"/>
    </row>
    <row r="1000" spans="13:14" ht="12.5">
      <c r="M1000" s="13"/>
      <c r="N1000" s="13"/>
    </row>
    <row r="1001" spans="13:14" ht="12.5">
      <c r="M1001" s="13"/>
      <c r="N1001" s="13"/>
    </row>
    <row r="1002" spans="13:14" ht="12.5">
      <c r="M1002" s="13"/>
      <c r="N1002" s="13"/>
    </row>
    <row r="1003" spans="13:14" ht="12.5">
      <c r="M1003" s="13"/>
      <c r="N1003" s="13"/>
    </row>
    <row r="1004" spans="13:14" ht="12.5">
      <c r="M1004" s="13"/>
      <c r="N1004" s="13"/>
    </row>
    <row r="1005" spans="13:14" ht="12.5">
      <c r="M1005" s="13"/>
      <c r="N1005" s="13"/>
    </row>
    <row r="1006" spans="13:14" ht="12.5">
      <c r="M1006" s="13"/>
      <c r="N1006" s="13"/>
    </row>
    <row r="1007" spans="13:14" ht="12.5">
      <c r="M1007" s="13"/>
      <c r="N1007" s="13"/>
    </row>
    <row r="1008" spans="13:14" ht="12.5">
      <c r="M1008" s="13"/>
      <c r="N1008" s="13"/>
    </row>
    <row r="1009" spans="13:14" ht="12.5">
      <c r="M1009" s="13"/>
      <c r="N1009" s="13"/>
    </row>
    <row r="1010" spans="13:14" ht="12.5">
      <c r="M1010" s="13"/>
      <c r="N1010" s="13"/>
    </row>
    <row r="1011" spans="13:14" ht="12.5">
      <c r="M1011" s="13"/>
      <c r="N1011" s="13"/>
    </row>
    <row r="1012" spans="13:14" ht="12.5">
      <c r="M1012" s="13"/>
      <c r="N1012" s="13"/>
    </row>
    <row r="1013" spans="13:14" ht="12.5">
      <c r="M1013" s="13"/>
      <c r="N1013" s="13"/>
    </row>
    <row r="1014" spans="13:14" ht="12.5">
      <c r="M1014" s="13"/>
      <c r="N1014" s="13"/>
    </row>
  </sheetData>
  <mergeCells count="1">
    <mergeCell ref="A1:D4"/>
  </mergeCells>
  <hyperlinks>
    <hyperlink ref="N7" r:id="rId1"/>
    <hyperlink ref="N8" r:id="rId2"/>
    <hyperlink ref="N9" r:id="rId3"/>
    <hyperlink ref="N10" r:id="rId4"/>
    <hyperlink ref="N11" r:id="rId5"/>
    <hyperlink ref="N12" r:id="rId6"/>
    <hyperlink ref="N13" r:id="rId7"/>
    <hyperlink ref="N14" r:id="rId8"/>
    <hyperlink ref="N15" r:id="rId9"/>
    <hyperlink ref="N16" r:id="rId10"/>
    <hyperlink ref="N17" r:id="rId11"/>
    <hyperlink ref="N18" r:id="rId12"/>
    <hyperlink ref="N19" r:id="rId13"/>
    <hyperlink ref="N20" r:id="rId14"/>
    <hyperlink ref="N21" r:id="rId15"/>
    <hyperlink ref="N22" r:id="rId16"/>
    <hyperlink ref="N23" r:id="rId17"/>
    <hyperlink ref="N24" r:id="rId18"/>
    <hyperlink ref="N25" r:id="rId19"/>
    <hyperlink ref="N26" r:id="rId20"/>
    <hyperlink ref="N28" r:id="rId21"/>
    <hyperlink ref="N29" r:id="rId2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12</vt:i4>
      </vt:variant>
    </vt:vector>
  </HeadingPairs>
  <TitlesOfParts>
    <vt:vector size="12" baseType="lpstr">
      <vt:lpstr>Ohjeet työkalun käyttöön</vt:lpstr>
      <vt:lpstr>Yhteenveto tuloksista, hiilijal</vt:lpstr>
      <vt:lpstr>Lähtötiedot</vt:lpstr>
      <vt:lpstr>Lähtötiedot - kustannukset</vt:lpstr>
      <vt:lpstr>Kotikonemallien lähtötiedot</vt:lpstr>
      <vt:lpstr>Palveluntarjoajien lähtötiedot</vt:lpstr>
      <vt:lpstr>Hiilijalanjälki ja veden kulutu</vt:lpstr>
      <vt:lpstr>Kustannukset</vt:lpstr>
      <vt:lpstr>Päästökertoimet ja niiden laatu</vt:lpstr>
      <vt:lpstr>Yhteenveto raportointiin</vt:lpstr>
      <vt:lpstr>Herkkyystarkastelut</vt:lpstr>
      <vt:lpstr>Alkuelinkaaren ilmastovaikutuks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Huomo Reetta</dc:creator>
  <cp:lastModifiedBy>Miinalainen Matti</cp:lastModifiedBy>
  <dcterms:created xsi:type="dcterms:W3CDTF">2020-12-18T13:13:39Z</dcterms:created>
  <dcterms:modified xsi:type="dcterms:W3CDTF">2021-07-01T09:54:25Z</dcterms:modified>
</cp:coreProperties>
</file>